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fficial\Main working docs\Regular documents\Accounts\Corpus\Corpus statement\Statement of corpus of all Project\"/>
    </mc:Choice>
  </mc:AlternateContent>
  <xr:revisionPtr revIDLastSave="0" documentId="13_ncr:1_{13606CE6-4BE9-4A1E-9BAB-509866628F8E}" xr6:coauthVersionLast="47" xr6:coauthVersionMax="47" xr10:uidLastSave="{00000000-0000-0000-0000-000000000000}"/>
  <bookViews>
    <workbookView xWindow="-110" yWindow="-110" windowWidth="19420" windowHeight="10300" firstSheet="1" activeTab="2" xr2:uid="{00000000-000D-0000-FFFF-FFFF00000000}"/>
  </bookViews>
  <sheets>
    <sheet name="SPC Adhoc Jul 22 to Sept 23" sheetId="7" r:id="rId1"/>
    <sheet name="SPC Astn Oct 23 to Mar24" sheetId="3" r:id="rId2"/>
    <sheet name="SPC Astn Apr 24 to Apr 26" sheetId="8" r:id="rId3"/>
    <sheet name="Refund details" sheetId="6" r:id="rId4"/>
  </sheets>
  <definedNames>
    <definedName name="_xlnm.Print_Area" localSheetId="0">'SPC Adhoc Jul 22 to Sept 23'!$A$1:$H$27</definedName>
    <definedName name="_xlnm.Print_Area" localSheetId="2">'SPC Astn Apr 24 to Apr 26'!$A$1:$B$28</definedName>
    <definedName name="_xlnm.Print_Area" localSheetId="1">'SPC Astn Oct 23 to Mar24'!$A$1:$B$28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E30" i="8" l="1"/>
  <c r="AE6" i="8"/>
  <c r="M185" i="6"/>
  <c r="M179" i="6"/>
  <c r="AD4" i="8"/>
  <c r="AE7" i="8"/>
  <c r="AD7" i="8"/>
  <c r="AE26" i="8" l="1"/>
  <c r="AE27" i="8" s="1"/>
  <c r="AF2" i="8"/>
  <c r="AE9" i="8"/>
  <c r="AE10" i="8"/>
  <c r="AD10" i="8"/>
  <c r="AC10" i="8"/>
  <c r="F184" i="6"/>
  <c r="F183" i="6"/>
  <c r="E183" i="6"/>
  <c r="E185" i="6" s="1"/>
  <c r="A183" i="6"/>
  <c r="A184" i="6" s="1"/>
  <c r="AC34" i="8"/>
  <c r="AC30" i="8"/>
  <c r="AC33" i="8"/>
  <c r="AE2" i="8"/>
  <c r="AD30" i="8"/>
  <c r="AD26" i="8"/>
  <c r="E179" i="6"/>
  <c r="A178" i="6"/>
  <c r="AD2" i="8"/>
  <c r="AC7" i="8"/>
  <c r="E177" i="6"/>
  <c r="F177" i="6" s="1"/>
  <c r="A177" i="6"/>
  <c r="AC26" i="8"/>
  <c r="E173" i="6"/>
  <c r="E172" i="6"/>
  <c r="F172" i="6" s="1"/>
  <c r="A172" i="6"/>
  <c r="AB7" i="8"/>
  <c r="AB26" i="8"/>
  <c r="AB27" i="8" s="1"/>
  <c r="AB28" i="8" s="1"/>
  <c r="E167" i="6"/>
  <c r="E168" i="6" s="1"/>
  <c r="A167" i="6"/>
  <c r="AA26" i="8"/>
  <c r="E162" i="6"/>
  <c r="F162" i="6" s="1"/>
  <c r="A162" i="6"/>
  <c r="Z26" i="8"/>
  <c r="E157" i="6"/>
  <c r="F157" i="6" s="1"/>
  <c r="A157" i="6"/>
  <c r="H30" i="3"/>
  <c r="Y26" i="8"/>
  <c r="Y27" i="8" s="1"/>
  <c r="Y28" i="8" s="1"/>
  <c r="E153" i="6"/>
  <c r="E148" i="6"/>
  <c r="E152" i="6"/>
  <c r="F152" i="6" s="1"/>
  <c r="A152" i="6"/>
  <c r="X26" i="8"/>
  <c r="F147" i="6"/>
  <c r="E147" i="6"/>
  <c r="X10" i="8" s="1"/>
  <c r="A147" i="6"/>
  <c r="W26" i="8"/>
  <c r="W27" i="8" s="1"/>
  <c r="W28" i="8" s="1"/>
  <c r="E142" i="6"/>
  <c r="F142" i="6" s="1"/>
  <c r="A142" i="6"/>
  <c r="V26" i="8"/>
  <c r="V27" i="8" s="1"/>
  <c r="E137" i="6"/>
  <c r="E138" i="6" s="1"/>
  <c r="A137" i="6"/>
  <c r="F178" i="6" l="1"/>
  <c r="AE28" i="8"/>
  <c r="AD27" i="8"/>
  <c r="AD28" i="8" s="1"/>
  <c r="W10" i="8"/>
  <c r="F167" i="6"/>
  <c r="AB10" i="8"/>
  <c r="Z10" i="8"/>
  <c r="F137" i="6"/>
  <c r="V10" i="8"/>
  <c r="Y10" i="8"/>
  <c r="Y30" i="8"/>
  <c r="Y33" i="8"/>
  <c r="AA27" i="8"/>
  <c r="AA28" i="8" s="1"/>
  <c r="X27" i="8"/>
  <c r="X28" i="8" s="1"/>
  <c r="AC27" i="8"/>
  <c r="AC28" i="8" s="1"/>
  <c r="AB30" i="8"/>
  <c r="AB33" i="8"/>
  <c r="E163" i="6"/>
  <c r="AA10" i="8" s="1"/>
  <c r="Z27" i="8"/>
  <c r="Z28" i="8" s="1"/>
  <c r="E158" i="6"/>
  <c r="W30" i="8"/>
  <c r="E143" i="6"/>
  <c r="V28" i="8"/>
  <c r="U26" i="8"/>
  <c r="U27" i="8" s="1"/>
  <c r="U10" i="8"/>
  <c r="T10" i="8"/>
  <c r="F132" i="6"/>
  <c r="E132" i="6"/>
  <c r="A132" i="6"/>
  <c r="T26" i="8"/>
  <c r="T27" i="8" s="1"/>
  <c r="T28" i="8" s="1"/>
  <c r="E127" i="6"/>
  <c r="E128" i="6" s="1"/>
  <c r="A127" i="6"/>
  <c r="S26" i="8"/>
  <c r="S27" i="8" s="1"/>
  <c r="E122" i="6"/>
  <c r="E123" i="6" s="1"/>
  <c r="A122" i="6"/>
  <c r="R26" i="8"/>
  <c r="R27" i="8"/>
  <c r="R28" i="8" s="1"/>
  <c r="E117" i="6"/>
  <c r="R10" i="8" s="1"/>
  <c r="F117" i="6"/>
  <c r="E118" i="6"/>
  <c r="A117" i="6"/>
  <c r="Q26" i="8"/>
  <c r="Q27" i="8" s="1"/>
  <c r="E113" i="6"/>
  <c r="F112" i="6"/>
  <c r="A112" i="6"/>
  <c r="P10" i="8"/>
  <c r="P26" i="8"/>
  <c r="P27" i="8" s="1"/>
  <c r="E107" i="6"/>
  <c r="E108" i="6" s="1"/>
  <c r="A107" i="6"/>
  <c r="O26" i="8"/>
  <c r="O27" i="8" s="1"/>
  <c r="E102" i="6"/>
  <c r="F102" i="6" s="1"/>
  <c r="A102" i="6"/>
  <c r="E97" i="6"/>
  <c r="E98" i="6" s="1"/>
  <c r="N10" i="8" s="1"/>
  <c r="A97" i="6"/>
  <c r="N26" i="8"/>
  <c r="N27" i="8" s="1"/>
  <c r="M30" i="8"/>
  <c r="M34" i="8" s="1"/>
  <c r="M26" i="8"/>
  <c r="M27" i="8" s="1"/>
  <c r="M28" i="8" s="1"/>
  <c r="E92" i="6"/>
  <c r="E93" i="6" s="1"/>
  <c r="M10" i="8" s="1"/>
  <c r="A92" i="6"/>
  <c r="L26" i="8"/>
  <c r="L27" i="8" s="1"/>
  <c r="L28" i="8" s="1"/>
  <c r="L30" i="8" s="1"/>
  <c r="L34" i="8" s="1"/>
  <c r="E87" i="6"/>
  <c r="E88" i="6" s="1"/>
  <c r="L10" i="8" s="1"/>
  <c r="A87" i="6"/>
  <c r="F122" i="6" l="1"/>
  <c r="S10" i="8"/>
  <c r="F92" i="6"/>
  <c r="F97" i="6"/>
  <c r="F127" i="6"/>
  <c r="F107" i="6"/>
  <c r="T33" i="8"/>
  <c r="T30" i="8"/>
  <c r="T32" i="8" s="1"/>
  <c r="T34" i="8" s="1"/>
  <c r="X33" i="8"/>
  <c r="X30" i="8"/>
  <c r="X34" i="8" s="1"/>
  <c r="AA33" i="8"/>
  <c r="AA30" i="8"/>
  <c r="AA34" i="8" s="1"/>
  <c r="U28" i="8"/>
  <c r="V30" i="8"/>
  <c r="V33" i="8"/>
  <c r="Z33" i="8"/>
  <c r="Z34" i="8" s="1"/>
  <c r="Z30" i="8"/>
  <c r="Y34" i="8"/>
  <c r="AB34" i="8"/>
  <c r="W34" i="8"/>
  <c r="E133" i="6"/>
  <c r="S28" i="8"/>
  <c r="R30" i="8"/>
  <c r="R34" i="8" s="1"/>
  <c r="Q28" i="8"/>
  <c r="Q30" i="8" s="1"/>
  <c r="Q34" i="8" s="1"/>
  <c r="P28" i="8"/>
  <c r="P30" i="8" s="1"/>
  <c r="P34" i="8" s="1"/>
  <c r="O28" i="8"/>
  <c r="O30" i="8" s="1"/>
  <c r="O34" i="8" s="1"/>
  <c r="E103" i="6"/>
  <c r="O10" i="8" s="1"/>
  <c r="N28" i="8"/>
  <c r="N30" i="8" s="1"/>
  <c r="N34" i="8" s="1"/>
  <c r="F87" i="6"/>
  <c r="K26" i="8"/>
  <c r="K27" i="8"/>
  <c r="K28" i="8" s="1"/>
  <c r="E82" i="6"/>
  <c r="F82" i="6" s="1"/>
  <c r="A82" i="6"/>
  <c r="J26" i="8"/>
  <c r="J27" i="8" s="1"/>
  <c r="E77" i="6"/>
  <c r="E78" i="6" s="1"/>
  <c r="J10" i="8" s="1"/>
  <c r="A77" i="6"/>
  <c r="F77" i="6" l="1"/>
  <c r="V34" i="8"/>
  <c r="K30" i="8"/>
  <c r="K33" i="8"/>
  <c r="U33" i="8"/>
  <c r="U30" i="8"/>
  <c r="U34" i="8" s="1"/>
  <c r="S30" i="8"/>
  <c r="S33" i="8"/>
  <c r="S34" i="8" s="1"/>
  <c r="E83" i="6"/>
  <c r="K10" i="8" s="1"/>
  <c r="J28" i="8"/>
  <c r="J30" i="8" s="1"/>
  <c r="J34" i="8" s="1"/>
  <c r="I26" i="8"/>
  <c r="I27" i="8" s="1"/>
  <c r="E73" i="6"/>
  <c r="I10" i="8" s="1"/>
  <c r="E72" i="6"/>
  <c r="F72" i="6" s="1"/>
  <c r="A72" i="6"/>
  <c r="K34" i="8" l="1"/>
  <c r="I28" i="8"/>
  <c r="I30" i="8" s="1"/>
  <c r="I34" i="8" s="1"/>
  <c r="H26" i="8"/>
  <c r="H27" i="8" s="1"/>
  <c r="E67" i="6"/>
  <c r="E68" i="6" s="1"/>
  <c r="H10" i="8" s="1"/>
  <c r="A67" i="6"/>
  <c r="E63" i="6"/>
  <c r="G10" i="8" s="1"/>
  <c r="F62" i="6"/>
  <c r="A62" i="6"/>
  <c r="G26" i="8"/>
  <c r="G27" i="8" s="1"/>
  <c r="E57" i="6"/>
  <c r="F57" i="6" s="1"/>
  <c r="A57" i="6"/>
  <c r="F26" i="8"/>
  <c r="F27" i="8" s="1"/>
  <c r="W8" i="7"/>
  <c r="F67" i="6" l="1"/>
  <c r="E58" i="6"/>
  <c r="F10" i="8" s="1"/>
  <c r="H28" i="8"/>
  <c r="H30" i="8" s="1"/>
  <c r="H34" i="8" s="1"/>
  <c r="G28" i="8"/>
  <c r="G30" i="8" s="1"/>
  <c r="G34" i="8" s="1"/>
  <c r="F28" i="8"/>
  <c r="F30" i="8" s="1"/>
  <c r="F34" i="8" s="1"/>
  <c r="C6" i="3"/>
  <c r="E51" i="6"/>
  <c r="F51" i="6" s="1"/>
  <c r="E52" i="6"/>
  <c r="F52" i="6" s="1"/>
  <c r="A51" i="6"/>
  <c r="A52" i="6" s="1"/>
  <c r="E26" i="8"/>
  <c r="E27" i="8" s="1"/>
  <c r="E2" i="8"/>
  <c r="F2" i="8" s="1"/>
  <c r="G2" i="8" s="1"/>
  <c r="H2" i="8" s="1"/>
  <c r="I2" i="8" s="1"/>
  <c r="J2" i="8" s="1"/>
  <c r="K2" i="8" s="1"/>
  <c r="L2" i="8" s="1"/>
  <c r="M2" i="8" s="1"/>
  <c r="N2" i="8" s="1"/>
  <c r="O2" i="8" s="1"/>
  <c r="P2" i="8" s="1"/>
  <c r="Q2" i="8" s="1"/>
  <c r="R2" i="8" s="1"/>
  <c r="S2" i="8" s="1"/>
  <c r="T2" i="8" s="1"/>
  <c r="U2" i="8" s="1"/>
  <c r="V2" i="8" s="1"/>
  <c r="W2" i="8" s="1"/>
  <c r="X2" i="8" s="1"/>
  <c r="Y2" i="8" s="1"/>
  <c r="Z2" i="8" s="1"/>
  <c r="AA2" i="8" s="1"/>
  <c r="AB2" i="8" s="1"/>
  <c r="AC2" i="8" s="1"/>
  <c r="D2" i="8"/>
  <c r="E46" i="6"/>
  <c r="F46" i="6" s="1"/>
  <c r="E45" i="6"/>
  <c r="F45" i="6" s="1"/>
  <c r="A45" i="6"/>
  <c r="A46" i="6" s="1"/>
  <c r="D26" i="8"/>
  <c r="D27" i="8" s="1"/>
  <c r="D28" i="8" l="1"/>
  <c r="D30" i="8" s="1"/>
  <c r="D34" i="8" s="1"/>
  <c r="E53" i="6"/>
  <c r="E10" i="8" s="1"/>
  <c r="E28" i="8"/>
  <c r="E30" i="8" s="1"/>
  <c r="E34" i="8" s="1"/>
  <c r="E47" i="6"/>
  <c r="D10" i="8" s="1"/>
  <c r="N9" i="3"/>
  <c r="N8" i="3"/>
  <c r="N5" i="3"/>
  <c r="C26" i="8"/>
  <c r="C27" i="8" s="1"/>
  <c r="A14" i="8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5" i="8"/>
  <c r="A6" i="8" s="1"/>
  <c r="A7" i="8" s="1"/>
  <c r="A8" i="8" s="1"/>
  <c r="A9" i="8" s="1"/>
  <c r="A10" i="8" s="1"/>
  <c r="F39" i="6"/>
  <c r="E40" i="6"/>
  <c r="F40" i="6" s="1"/>
  <c r="E39" i="6"/>
  <c r="A39" i="6"/>
  <c r="A40" i="6" s="1"/>
  <c r="U20" i="7"/>
  <c r="F33" i="6"/>
  <c r="E34" i="6"/>
  <c r="F34" i="6" s="1"/>
  <c r="E33" i="6"/>
  <c r="A33" i="6"/>
  <c r="A34" i="6" s="1"/>
  <c r="I2" i="3"/>
  <c r="H26" i="3"/>
  <c r="H27" i="3" s="1"/>
  <c r="A9" i="3"/>
  <c r="A8" i="3"/>
  <c r="G26" i="3"/>
  <c r="G27" i="3" s="1"/>
  <c r="C28" i="8" l="1"/>
  <c r="C30" i="8" s="1"/>
  <c r="C34" i="8" s="1"/>
  <c r="E41" i="6"/>
  <c r="C10" i="8" s="1"/>
  <c r="E35" i="6"/>
  <c r="H10" i="3" s="1"/>
  <c r="H28" i="3"/>
  <c r="H7" i="3" s="1"/>
  <c r="G28" i="3"/>
  <c r="G7" i="3" s="1"/>
  <c r="E28" i="6"/>
  <c r="F28" i="6" s="1"/>
  <c r="E27" i="6"/>
  <c r="E29" i="6" s="1"/>
  <c r="G10" i="3" s="1"/>
  <c r="A27" i="6"/>
  <c r="A28" i="6" s="1"/>
  <c r="F26" i="3"/>
  <c r="R25" i="7"/>
  <c r="Q25" i="7"/>
  <c r="Q27" i="7" s="1"/>
  <c r="Q7" i="7" s="1"/>
  <c r="P25" i="7"/>
  <c r="P27" i="7" s="1"/>
  <c r="P7" i="7" s="1"/>
  <c r="O25" i="7"/>
  <c r="O27" i="7" s="1"/>
  <c r="O7" i="7" s="1"/>
  <c r="N25" i="7"/>
  <c r="M25" i="7"/>
  <c r="M27" i="7" s="1"/>
  <c r="M7" i="7" s="1"/>
  <c r="L25" i="7"/>
  <c r="L27" i="7" s="1"/>
  <c r="L7" i="7" s="1"/>
  <c r="K25" i="7"/>
  <c r="K27" i="7" s="1"/>
  <c r="K7" i="7" s="1"/>
  <c r="J25" i="7"/>
  <c r="J27" i="7" s="1"/>
  <c r="J7" i="7" s="1"/>
  <c r="I25" i="7"/>
  <c r="I27" i="7" s="1"/>
  <c r="I7" i="7" s="1"/>
  <c r="H25" i="7"/>
  <c r="H27" i="7" s="1"/>
  <c r="H7" i="7" s="1"/>
  <c r="G25" i="7"/>
  <c r="G27" i="7" s="1"/>
  <c r="G7" i="7" s="1"/>
  <c r="F25" i="7"/>
  <c r="F27" i="7" s="1"/>
  <c r="F7" i="7" s="1"/>
  <c r="E25" i="7"/>
  <c r="E27" i="7" s="1"/>
  <c r="E7" i="7" s="1"/>
  <c r="D25" i="7"/>
  <c r="D27" i="7" s="1"/>
  <c r="D7" i="7" s="1"/>
  <c r="C25" i="7"/>
  <c r="C27" i="7" s="1"/>
  <c r="C7" i="7" s="1"/>
  <c r="N18" i="7"/>
  <c r="A13" i="7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5" i="7"/>
  <c r="A6" i="7" s="1"/>
  <c r="A7" i="7" s="1"/>
  <c r="A8" i="7" s="1"/>
  <c r="A9" i="7" s="1"/>
  <c r="C4" i="7"/>
  <c r="D2" i="7"/>
  <c r="E2" i="7" s="1"/>
  <c r="F2" i="7" s="1"/>
  <c r="G2" i="7" s="1"/>
  <c r="H2" i="7" s="1"/>
  <c r="I2" i="7" s="1"/>
  <c r="J2" i="7" s="1"/>
  <c r="K2" i="7" s="1"/>
  <c r="L2" i="7" s="1"/>
  <c r="M2" i="7" s="1"/>
  <c r="N2" i="7" s="1"/>
  <c r="O2" i="7" s="1"/>
  <c r="P2" i="7" s="1"/>
  <c r="Q2" i="7" s="1"/>
  <c r="R2" i="7" s="1"/>
  <c r="S2" i="7" s="1"/>
  <c r="E22" i="6"/>
  <c r="F22" i="6" s="1"/>
  <c r="E21" i="6"/>
  <c r="E23" i="6" s="1"/>
  <c r="F10" i="3" s="1"/>
  <c r="A21" i="6"/>
  <c r="A22" i="6" s="1"/>
  <c r="E26" i="3"/>
  <c r="E27" i="3" s="1"/>
  <c r="D26" i="3"/>
  <c r="D27" i="3" s="1"/>
  <c r="D28" i="3" s="1"/>
  <c r="D7" i="3" s="1"/>
  <c r="F21" i="6" l="1"/>
  <c r="F27" i="6"/>
  <c r="R26" i="7"/>
  <c r="W9" i="7" s="1"/>
  <c r="C5" i="7"/>
  <c r="W6" i="7"/>
  <c r="F27" i="3"/>
  <c r="F28" i="3" s="1"/>
  <c r="F7" i="3" s="1"/>
  <c r="N27" i="7"/>
  <c r="N7" i="7" s="1"/>
  <c r="E28" i="3"/>
  <c r="E7" i="3" s="1"/>
  <c r="C26" i="3"/>
  <c r="E16" i="6"/>
  <c r="E10" i="6"/>
  <c r="A16" i="6"/>
  <c r="A10" i="6"/>
  <c r="E4" i="6"/>
  <c r="F4" i="6" s="1"/>
  <c r="A4" i="6"/>
  <c r="R27" i="7" l="1"/>
  <c r="R7" i="7" s="1"/>
  <c r="C8" i="7"/>
  <c r="D4" i="7" s="1"/>
  <c r="F10" i="6"/>
  <c r="E11" i="6"/>
  <c r="D10" i="3" s="1"/>
  <c r="F16" i="6"/>
  <c r="E10" i="3"/>
  <c r="E5" i="6"/>
  <c r="R9" i="7" s="1"/>
  <c r="W10" i="7" s="1"/>
  <c r="N10" i="3" l="1"/>
  <c r="D5" i="7"/>
  <c r="A5" i="3"/>
  <c r="A6" i="3" s="1"/>
  <c r="A7" i="3" s="1"/>
  <c r="A10" i="3" s="1"/>
  <c r="D8" i="7" l="1"/>
  <c r="E4" i="7" s="1"/>
  <c r="C27" i="3"/>
  <c r="C28" i="3" s="1"/>
  <c r="C7" i="3" s="1"/>
  <c r="E5" i="7" l="1"/>
  <c r="E8" i="7" l="1"/>
  <c r="F4" i="7" s="1"/>
  <c r="F5" i="7" s="1"/>
  <c r="F8" i="7" s="1"/>
  <c r="G4" i="7" s="1"/>
  <c r="G5" i="7" s="1"/>
  <c r="G8" i="7" s="1"/>
  <c r="H4" i="7" s="1"/>
  <c r="H5" i="7" s="1"/>
  <c r="H8" i="7" s="1"/>
  <c r="I4" i="7" s="1"/>
  <c r="I5" i="7" s="1"/>
  <c r="I8" i="7" s="1"/>
  <c r="J4" i="7" s="1"/>
  <c r="J5" i="7" l="1"/>
  <c r="J8" i="7" s="1"/>
  <c r="K4" i="7" s="1"/>
  <c r="A14" i="3"/>
  <c r="A15" i="3" s="1"/>
  <c r="A16" i="3" s="1"/>
  <c r="A17" i="3" s="1"/>
  <c r="A18" i="3" s="1"/>
  <c r="A19" i="3" s="1"/>
  <c r="A20" i="3" s="1"/>
  <c r="D2" i="3"/>
  <c r="E2" i="3" s="1"/>
  <c r="F2" i="3" s="1"/>
  <c r="G2" i="3" s="1"/>
  <c r="H2" i="3" s="1"/>
  <c r="K5" i="7" l="1"/>
  <c r="K8" i="7" s="1"/>
  <c r="L4" i="7"/>
  <c r="A21" i="3"/>
  <c r="A22" i="3" s="1"/>
  <c r="A23" i="3" s="1"/>
  <c r="A24" i="3" s="1"/>
  <c r="A25" i="3" s="1"/>
  <c r="A26" i="3" s="1"/>
  <c r="A27" i="3" s="1"/>
  <c r="L5" i="7" l="1"/>
  <c r="L8" i="7" s="1"/>
  <c r="M4" i="7"/>
  <c r="M5" i="7" l="1"/>
  <c r="M8" i="7" s="1"/>
  <c r="N4" i="7" s="1"/>
  <c r="N5" i="7" l="1"/>
  <c r="N8" i="7" s="1"/>
  <c r="O4" i="7"/>
  <c r="O5" i="7" l="1"/>
  <c r="O8" i="7" s="1"/>
  <c r="P4" i="7" s="1"/>
  <c r="P5" i="7" l="1"/>
  <c r="P8" i="7" s="1"/>
  <c r="Q4" i="7" s="1"/>
  <c r="Q5" i="7" l="1"/>
  <c r="Q8" i="7" s="1"/>
  <c r="R4" i="7"/>
  <c r="D3" i="6" l="1"/>
  <c r="F3" i="6" s="1"/>
  <c r="F5" i="6" s="1" a="1"/>
  <c r="F5" i="6" s="1"/>
  <c r="R5" i="7" s="1"/>
  <c r="R8" i="7" l="1"/>
  <c r="S4" i="7" s="1"/>
  <c r="W7" i="7"/>
  <c r="W11" i="7" s="1"/>
  <c r="C5" i="3"/>
  <c r="C9" i="3" l="1"/>
  <c r="D4" i="3" s="1"/>
  <c r="D9" i="6" l="1"/>
  <c r="F9" i="6" s="1"/>
  <c r="F11" i="6" s="1" a="1"/>
  <c r="F11" i="6" s="1"/>
  <c r="D5" i="3" l="1"/>
  <c r="D6" i="3" l="1"/>
  <c r="D9" i="3" l="1"/>
  <c r="E4" i="3" s="1"/>
  <c r="D15" i="6" s="1"/>
  <c r="F15" i="6" s="1"/>
  <c r="F17" i="6" s="1" a="1"/>
  <c r="F17" i="6" s="1"/>
  <c r="E5" i="3" s="1"/>
  <c r="E6" i="3"/>
  <c r="E9" i="3" s="1"/>
  <c r="F4" i="3" l="1"/>
  <c r="D20" i="6" l="1"/>
  <c r="F20" i="6" s="1"/>
  <c r="F23" i="6" s="1" a="1"/>
  <c r="F23" i="6" s="1"/>
  <c r="F5" i="3" s="1"/>
  <c r="F6" i="3" s="1"/>
  <c r="F9" i="3" l="1"/>
  <c r="G4" i="3" l="1"/>
  <c r="D26" i="6" l="1"/>
  <c r="F26" i="6" s="1"/>
  <c r="F29" i="6" l="1" a="1"/>
  <c r="F29" i="6" s="1"/>
  <c r="G5" i="3" l="1"/>
  <c r="K29" i="6"/>
  <c r="L29" i="6" s="1"/>
  <c r="G6" i="3"/>
  <c r="G9" i="3" s="1"/>
  <c r="H4" i="3" s="1"/>
  <c r="D32" i="6" s="1"/>
  <c r="F32" i="6" s="1"/>
  <c r="F35" i="6" s="1" a="1"/>
  <c r="F35" i="6" s="1"/>
  <c r="H5" i="3" s="1"/>
  <c r="H6" i="3" l="1"/>
  <c r="N6" i="3"/>
  <c r="H9" i="3" l="1"/>
  <c r="I4" i="3" s="1"/>
  <c r="N7" i="3"/>
  <c r="N12" i="3" s="1"/>
  <c r="C4" i="8" l="1"/>
  <c r="D38" i="6" l="1"/>
  <c r="F38" i="6" s="1"/>
  <c r="F41" i="6" s="1" a="1"/>
  <c r="F41" i="6" s="1"/>
  <c r="C5" i="8" s="1"/>
  <c r="C6" i="8" l="1"/>
  <c r="C9" i="8" s="1"/>
  <c r="D4" i="8" s="1"/>
  <c r="D44" i="6" l="1"/>
  <c r="F44" i="6" s="1"/>
  <c r="F47" i="6" s="1" a="1"/>
  <c r="F47" i="6" s="1"/>
  <c r="D5" i="8" s="1"/>
  <c r="D6" i="8" l="1"/>
  <c r="D9" i="8" s="1"/>
  <c r="E4" i="8" s="1"/>
  <c r="D50" i="6" l="1"/>
  <c r="F50" i="6" s="1"/>
  <c r="F53" i="6" s="1" a="1"/>
  <c r="F53" i="6" s="1"/>
  <c r="E5" i="8" s="1"/>
  <c r="E6" i="8" l="1"/>
  <c r="E9" i="8" s="1"/>
  <c r="F4" i="8" s="1"/>
  <c r="D56" i="6" l="1"/>
  <c r="F56" i="6" s="1"/>
  <c r="F58" i="6" s="1" a="1"/>
  <c r="F58" i="6" s="1"/>
  <c r="F5" i="8" s="1"/>
  <c r="F6" i="8" l="1"/>
  <c r="F9" i="8" s="1"/>
  <c r="G4" i="8" s="1"/>
  <c r="D61" i="6" s="1"/>
  <c r="F61" i="6" s="1"/>
  <c r="F63" i="6" s="1" a="1"/>
  <c r="F63" i="6" s="1"/>
  <c r="G5" i="8" s="1"/>
  <c r="G6" i="8" s="1"/>
  <c r="G9" i="8" s="1"/>
  <c r="H4" i="8" s="1"/>
  <c r="D66" i="6" s="1"/>
  <c r="F66" i="6" s="1"/>
  <c r="F68" i="6" s="1" a="1"/>
  <c r="F68" i="6" s="1"/>
  <c r="H5" i="8" s="1"/>
  <c r="H6" i="8" s="1"/>
  <c r="H9" i="8" s="1"/>
  <c r="I4" i="8" s="1"/>
  <c r="D71" i="6" l="1"/>
  <c r="F71" i="6" s="1"/>
  <c r="F73" i="6" l="1" a="1"/>
  <c r="F73" i="6" s="1"/>
  <c r="I5" i="8" s="1"/>
  <c r="I6" i="8" l="1"/>
  <c r="I9" i="8" s="1"/>
  <c r="J4" i="8" s="1"/>
  <c r="D76" i="6" l="1"/>
  <c r="F76" i="6" s="1"/>
  <c r="F78" i="6" s="1" a="1"/>
  <c r="F78" i="6" s="1"/>
  <c r="J5" i="8" s="1"/>
  <c r="J6" i="8" l="1"/>
  <c r="J9" i="8" s="1"/>
  <c r="K4" i="8" s="1"/>
  <c r="D81" i="6" l="1"/>
  <c r="F81" i="6" s="1"/>
  <c r="F83" i="6" s="1" a="1"/>
  <c r="F83" i="6" s="1"/>
  <c r="K5" i="8" s="1"/>
  <c r="K6" i="8" l="1"/>
  <c r="K9" i="8"/>
  <c r="L4" i="8" s="1"/>
  <c r="D86" i="6" l="1"/>
  <c r="F86" i="6" s="1"/>
  <c r="F88" i="6" s="1" a="1"/>
  <c r="F88" i="6" s="1"/>
  <c r="L5" i="8" s="1"/>
  <c r="L6" i="8" l="1"/>
  <c r="L9" i="8" s="1"/>
  <c r="M4" i="8" s="1"/>
  <c r="D91" i="6" l="1"/>
  <c r="F91" i="6" s="1"/>
  <c r="F93" i="6" s="1" a="1"/>
  <c r="F93" i="6" s="1"/>
  <c r="M5" i="8" s="1"/>
  <c r="M6" i="8" l="1"/>
  <c r="M9" i="8" s="1"/>
  <c r="N4" i="8" s="1"/>
  <c r="D96" i="6" l="1"/>
  <c r="F96" i="6" s="1"/>
  <c r="F98" i="6" s="1" a="1"/>
  <c r="F98" i="6" s="1"/>
  <c r="N5" i="8" s="1"/>
  <c r="N6" i="8" l="1"/>
  <c r="N9" i="8" s="1"/>
  <c r="O4" i="8" s="1"/>
  <c r="D101" i="6" l="1"/>
  <c r="F101" i="6" s="1"/>
  <c r="F103" i="6" s="1" a="1"/>
  <c r="F103" i="6" s="1"/>
  <c r="O5" i="8" s="1"/>
  <c r="O6" i="8" l="1"/>
  <c r="O9" i="8" s="1"/>
  <c r="P4" i="8" s="1"/>
  <c r="D106" i="6" s="1"/>
  <c r="F106" i="6" s="1"/>
  <c r="F108" i="6" s="1" a="1"/>
  <c r="F108" i="6" s="1"/>
  <c r="P5" i="8" s="1"/>
  <c r="P6" i="8" s="1"/>
  <c r="P9" i="8" s="1"/>
  <c r="Q4" i="8" s="1"/>
  <c r="D111" i="6" s="1"/>
  <c r="F111" i="6" s="1"/>
  <c r="F113" i="6" s="1" a="1"/>
  <c r="F113" i="6" s="1"/>
  <c r="Q5" i="8" s="1"/>
  <c r="Q6" i="8" l="1"/>
  <c r="Q9" i="8" s="1"/>
  <c r="R4" i="8" s="1"/>
  <c r="D116" i="6" s="1"/>
  <c r="F116" i="6" s="1"/>
  <c r="F118" i="6" s="1" a="1"/>
  <c r="F118" i="6" s="1"/>
  <c r="R5" i="8" s="1"/>
  <c r="R6" i="8" l="1"/>
  <c r="R9" i="8"/>
  <c r="S4" i="8" s="1"/>
  <c r="D121" i="6" l="1"/>
  <c r="F121" i="6" s="1"/>
  <c r="F123" i="6" s="1" a="1"/>
  <c r="F123" i="6" s="1"/>
  <c r="S5" i="8" s="1"/>
  <c r="S6" i="8" l="1"/>
  <c r="S9" i="8" s="1"/>
  <c r="T4" i="8" s="1"/>
  <c r="D126" i="6" s="1"/>
  <c r="F126" i="6" s="1"/>
  <c r="F128" i="6" s="1" a="1"/>
  <c r="F128" i="6" s="1"/>
  <c r="T5" i="8" s="1"/>
  <c r="T6" i="8" l="1"/>
  <c r="T9" i="8"/>
  <c r="U4" i="8" s="1"/>
  <c r="D131" i="6" l="1"/>
  <c r="F131" i="6" s="1"/>
  <c r="F133" i="6" s="1" a="1"/>
  <c r="F133" i="6" s="1"/>
  <c r="U5" i="8" s="1"/>
  <c r="U6" i="8" l="1"/>
  <c r="U9" i="8" s="1"/>
  <c r="V4" i="8" s="1"/>
  <c r="D136" i="6" l="1"/>
  <c r="F136" i="6" s="1"/>
  <c r="F138" i="6" s="1" a="1"/>
  <c r="F138" i="6" s="1"/>
  <c r="V5" i="8" s="1"/>
  <c r="V6" i="8" l="1"/>
  <c r="V9" i="8" s="1"/>
  <c r="W4" i="8" s="1"/>
  <c r="D141" i="6" l="1"/>
  <c r="F141" i="6" s="1"/>
  <c r="F143" i="6" s="1" a="1"/>
  <c r="F143" i="6" s="1"/>
  <c r="W5" i="8" s="1"/>
  <c r="W6" i="8" l="1"/>
  <c r="W9" i="8" s="1"/>
  <c r="X4" i="8" s="1"/>
  <c r="D146" i="6" l="1"/>
  <c r="F146" i="6" s="1"/>
  <c r="F148" i="6" s="1" a="1"/>
  <c r="F148" i="6" s="1"/>
  <c r="X5" i="8" s="1"/>
  <c r="X6" i="8" l="1"/>
  <c r="X9" i="8" s="1"/>
  <c r="Y4" i="8" s="1"/>
  <c r="D151" i="6" s="1"/>
  <c r="F151" i="6" s="1"/>
  <c r="F153" i="6" s="1" a="1"/>
  <c r="F153" i="6" s="1"/>
  <c r="Y5" i="8" s="1"/>
  <c r="Y6" i="8" l="1"/>
  <c r="Y9" i="8"/>
  <c r="Z4" i="8" s="1"/>
  <c r="D156" i="6" l="1"/>
  <c r="F156" i="6" s="1"/>
  <c r="F158" i="6" s="1" a="1"/>
  <c r="F158" i="6" s="1"/>
  <c r="Z5" i="8" s="1"/>
  <c r="Z6" i="8" l="1"/>
  <c r="Z9" i="8" s="1"/>
  <c r="AA4" i="8" s="1"/>
  <c r="D161" i="6" l="1"/>
  <c r="F161" i="6" s="1"/>
  <c r="F163" i="6" s="1" a="1"/>
  <c r="F163" i="6" s="1"/>
  <c r="AA5" i="8" s="1"/>
  <c r="AA6" i="8" l="1"/>
  <c r="AA9" i="8" s="1"/>
  <c r="AB4" i="8" s="1"/>
  <c r="D166" i="6" s="1"/>
  <c r="F166" i="6" s="1"/>
  <c r="F168" i="6" s="1" a="1"/>
  <c r="F168" i="6" s="1"/>
  <c r="AB5" i="8" s="1"/>
  <c r="AB6" i="8" s="1"/>
  <c r="AB9" i="8" s="1"/>
  <c r="AC4" i="8" s="1"/>
  <c r="D171" i="6" l="1"/>
  <c r="F171" i="6" s="1"/>
  <c r="F173" i="6" s="1" a="1"/>
  <c r="F173" i="6" s="1"/>
  <c r="AC5" i="8" s="1"/>
  <c r="AC6" i="8" l="1"/>
  <c r="AC9" i="8"/>
  <c r="D176" i="6" l="1"/>
  <c r="F176" i="6" s="1"/>
  <c r="F179" i="6" s="1" a="1"/>
  <c r="F179" i="6" s="1"/>
  <c r="AD6" i="8" l="1"/>
  <c r="AD9" i="8" s="1"/>
  <c r="AE4" i="8" s="1"/>
  <c r="AF4" i="8" s="1"/>
  <c r="D182" i="6" l="1"/>
  <c r="F182" i="6" s="1"/>
  <c r="F185" i="6" s="1" a="1"/>
  <c r="F185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Hariprasad V</author>
  </authors>
  <commentList>
    <comment ref="R9" authorId="0" shapeId="0" xr:uid="{1DDDC846-B2A1-41FF-8768-66C0548DA8D8}">
      <text>
        <r>
          <rPr>
            <b/>
            <sz val="9"/>
            <color indexed="81"/>
            <rFont val="Tahoma"/>
            <family val="2"/>
          </rPr>
          <t>Hariprasad V:</t>
        </r>
        <r>
          <rPr>
            <sz val="9"/>
            <color indexed="81"/>
            <rFont val="Tahoma"/>
            <family val="2"/>
          </rPr>
          <t xml:space="preserve">
Refund on 13/09/2023</t>
        </r>
      </text>
    </comment>
    <comment ref="J12" authorId="0" shapeId="0" xr:uid="{8B141180-F950-42FF-A4BE-2C1C6061D718}">
      <text>
        <r>
          <rPr>
            <b/>
            <sz val="9"/>
            <color indexed="81"/>
            <rFont val="Tahoma"/>
            <family val="2"/>
          </rPr>
          <t>Hariprasad V:</t>
        </r>
        <r>
          <rPr>
            <sz val="9"/>
            <color indexed="81"/>
            <rFont val="Tahoma"/>
            <family val="2"/>
          </rPr>
          <t xml:space="preserve">
BESCOM charges for Dec and Jan 23.
Temporary electricity charges for the period from 20th Jun to 25th July 2022 (Average of Nov to Jan 23)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Hariprasad V</author>
  </authors>
  <commentList>
    <comment ref="H8" authorId="0" shapeId="0" xr:uid="{D14AAD81-FFA3-471A-A998-30EB773A8692}">
      <text>
        <r>
          <rPr>
            <b/>
            <sz val="9"/>
            <color indexed="81"/>
            <rFont val="Tahoma"/>
            <family val="2"/>
          </rPr>
          <t>Hariprasad V:</t>
        </r>
        <r>
          <rPr>
            <sz val="9"/>
            <color indexed="81"/>
            <rFont val="Tahoma"/>
            <family val="2"/>
          </rPr>
          <t xml:space="preserve">
TDS Receivabale from Oct 23 to Feb 24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Hariprasad V</author>
  </authors>
  <commentList>
    <comment ref="AE5" authorId="0" shapeId="0" xr:uid="{7EA1B193-5FCF-40F4-BFB3-81FC534C6E03}">
      <text>
        <r>
          <rPr>
            <b/>
            <sz val="9"/>
            <color indexed="81"/>
            <rFont val="Tahoma"/>
            <charset val="1"/>
          </rPr>
          <t>Hariprasad V:</t>
        </r>
        <r>
          <rPr>
            <sz val="9"/>
            <color indexed="81"/>
            <rFont val="Tahoma"/>
            <charset val="1"/>
          </rPr>
          <t xml:space="preserve">
Excess interest accounted will be adjusted in Sept 26</t>
        </r>
      </text>
    </comment>
    <comment ref="AD7" authorId="0" shapeId="0" xr:uid="{8A613682-E40C-4A3A-BDBE-F9DBAF2DBC22}">
      <text>
        <r>
          <rPr>
            <b/>
            <sz val="9"/>
            <color indexed="81"/>
            <rFont val="Tahoma"/>
            <charset val="1"/>
          </rPr>
          <t>Hariprasad V:</t>
        </r>
        <r>
          <rPr>
            <sz val="9"/>
            <color indexed="81"/>
            <rFont val="Tahoma"/>
            <charset val="1"/>
          </rPr>
          <t xml:space="preserve">
Net off May 26 amount received on 23/07/2026 and Jul 26 expenses </t>
        </r>
      </text>
    </comment>
    <comment ref="AE7" authorId="0" shapeId="0" xr:uid="{3159BB51-BD82-436E-B683-A98E156A3F19}">
      <text>
        <r>
          <rPr>
            <b/>
            <sz val="9"/>
            <color indexed="81"/>
            <rFont val="Tahoma"/>
            <charset val="1"/>
          </rPr>
          <t>Hariprasad V:</t>
        </r>
        <r>
          <rPr>
            <sz val="9"/>
            <color indexed="81"/>
            <rFont val="Tahoma"/>
            <charset val="1"/>
          </rPr>
          <t xml:space="preserve">
Net off Amount received for Jun 26 and Aug 26 expenses</t>
        </r>
      </text>
    </comment>
    <comment ref="AB21" authorId="0" shapeId="0" xr:uid="{062E28D3-5F7A-4CBB-8000-C2AF0EC237F1}">
      <text>
        <r>
          <rPr>
            <b/>
            <sz val="9"/>
            <color indexed="81"/>
            <rFont val="Tahoma"/>
            <family val="2"/>
          </rPr>
          <t>Hariprasad V:</t>
        </r>
        <r>
          <rPr>
            <sz val="9"/>
            <color indexed="81"/>
            <rFont val="Tahoma"/>
            <family val="2"/>
          </rPr>
          <t xml:space="preserve">
2 managers during OJT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<sst xmlns="http://schemas.openxmlformats.org/spreadsheetml/2006/main" count="732" uniqueCount="238">
  <si>
    <t>S.No.</t>
  </si>
  <si>
    <t>Month 
&amp; Year</t>
  </si>
  <si>
    <t>Corpus</t>
  </si>
  <si>
    <t xml:space="preserve"> </t>
  </si>
  <si>
    <t>Heads</t>
  </si>
  <si>
    <t>Security</t>
  </si>
  <si>
    <t>Common Area Electricity</t>
  </si>
  <si>
    <t>TOTAL</t>
  </si>
  <si>
    <t>For detailed back up please refer the monthly statement</t>
  </si>
  <si>
    <t>Water Charges</t>
  </si>
  <si>
    <t>Facilitation Charges @ 15%</t>
  </si>
  <si>
    <t>Total Monthly
Expense</t>
  </si>
  <si>
    <t>Pest Control Charges</t>
  </si>
  <si>
    <t>AMC &amp; Other Expenditure</t>
  </si>
  <si>
    <t>Budget</t>
  </si>
  <si>
    <r>
      <t xml:space="preserve">Savings / </t>
    </r>
    <r>
      <rPr>
        <b/>
        <sz val="10"/>
        <color rgb="FFFF0000"/>
        <rFont val="Tahoma"/>
        <family val="2"/>
      </rPr>
      <t>Over Expenses</t>
    </r>
  </si>
  <si>
    <t>June '22</t>
  </si>
  <si>
    <t>July '22</t>
  </si>
  <si>
    <t>Aug '22</t>
  </si>
  <si>
    <t>Diesel -DG</t>
  </si>
  <si>
    <t>Consumables - STP, WTP, OWC and RO</t>
  </si>
  <si>
    <t>Consumables, Spares and Services</t>
  </si>
  <si>
    <t>Estate Manager Salary</t>
  </si>
  <si>
    <t>Maintenance Supervisor Salary</t>
  </si>
  <si>
    <t>Housekeeping salary</t>
  </si>
  <si>
    <t>Gardeners Salary</t>
  </si>
  <si>
    <t>Electrician,  Plumber &amp; Operator Salary</t>
  </si>
  <si>
    <t>Sept '22</t>
  </si>
  <si>
    <t>Oct '22</t>
  </si>
  <si>
    <t>Nov '22</t>
  </si>
  <si>
    <t>Dec '22</t>
  </si>
  <si>
    <t>Jan '23</t>
  </si>
  <si>
    <t>Feb '23</t>
  </si>
  <si>
    <t>Mar '23</t>
  </si>
  <si>
    <t>Apr '23</t>
  </si>
  <si>
    <t>TDS</t>
  </si>
  <si>
    <t>GST @ 18%</t>
  </si>
  <si>
    <t>Interest</t>
  </si>
  <si>
    <t>May '23</t>
  </si>
  <si>
    <t>June '23</t>
  </si>
  <si>
    <t>Jul '23</t>
  </si>
  <si>
    <t>Aug '23</t>
  </si>
  <si>
    <t>Sept '23</t>
  </si>
  <si>
    <t>Corpus Refund</t>
  </si>
  <si>
    <t>Oct '23</t>
  </si>
  <si>
    <t>Month</t>
  </si>
  <si>
    <t>SL no</t>
  </si>
  <si>
    <t>Partilculars</t>
  </si>
  <si>
    <t>Corpus balance</t>
  </si>
  <si>
    <t>Refund /Top up</t>
  </si>
  <si>
    <t>Op Balance</t>
  </si>
  <si>
    <t>Total Top up and Interest  for Nov 23</t>
  </si>
  <si>
    <t>Total Top up and Interest  for Sept 23</t>
  </si>
  <si>
    <t>Refund details</t>
  </si>
  <si>
    <t>Date</t>
  </si>
  <si>
    <t>UTR No</t>
  </si>
  <si>
    <t>Amount</t>
  </si>
  <si>
    <t>UTIBR72023091400009582</t>
  </si>
  <si>
    <t>Refund to association - 14/09/2023</t>
  </si>
  <si>
    <t>UTIBR72023112800048063</t>
  </si>
  <si>
    <t>Refund to association - 28/11/2023</t>
  </si>
  <si>
    <t>UTIBR72023121900076181</t>
  </si>
  <si>
    <t>Total Top up and Interest  for Dec 23</t>
  </si>
  <si>
    <t>Refund to association - 19/12/2023</t>
  </si>
  <si>
    <t>Nov'23</t>
  </si>
  <si>
    <t>Dec '23</t>
  </si>
  <si>
    <t>Jan '24</t>
  </si>
  <si>
    <t>SOBHA PALM COURT FROM 20TH JUNE 2022 TO DEC 23</t>
  </si>
  <si>
    <t>Total Top up and Interest  for Jan 24</t>
  </si>
  <si>
    <t>UTIBR72024011700068591</t>
  </si>
  <si>
    <t>UTIBR72024011800084868</t>
  </si>
  <si>
    <t>Interests</t>
  </si>
  <si>
    <t>Refund to association - 17/01/2024</t>
  </si>
  <si>
    <t>Refund to association - 18/01/2024</t>
  </si>
  <si>
    <t>Corpus / Interest Refund</t>
  </si>
  <si>
    <t>Feb '24</t>
  </si>
  <si>
    <t>UTIBR72024021400053648</t>
  </si>
  <si>
    <t>UTIBR72024021400053627</t>
  </si>
  <si>
    <t>Refund to association - 14/02/2024</t>
  </si>
  <si>
    <t>Mar '24</t>
  </si>
  <si>
    <t>Total Top up and Interest  for Feb 24</t>
  </si>
  <si>
    <t>TDS Receivable</t>
  </si>
  <si>
    <t>SOBHA PALM COURT FROM Oct 2023 TO MARCH 24</t>
  </si>
  <si>
    <t>Apr '24</t>
  </si>
  <si>
    <t>Total Top up and Interest  for Mar 24</t>
  </si>
  <si>
    <t>UTIBR72024031400095222</t>
  </si>
  <si>
    <t>Interest Feb 24</t>
  </si>
  <si>
    <t>Refund to association - 14/03/2024</t>
  </si>
  <si>
    <t>Refund to association - 30/03/2024</t>
  </si>
  <si>
    <t>UTIBR72024033000080899</t>
  </si>
  <si>
    <t>Corpus refund March 24</t>
  </si>
  <si>
    <t>UTIBR72024042500093396</t>
  </si>
  <si>
    <t>Corpus refund April 24</t>
  </si>
  <si>
    <t>Refund to association - 25/04/2024</t>
  </si>
  <si>
    <t>Refund to association - 30/04/2024</t>
  </si>
  <si>
    <t>Total Top up and Interest  for April 24</t>
  </si>
  <si>
    <t>UTIBR72024043000044795</t>
  </si>
  <si>
    <t>Interest March 24</t>
  </si>
  <si>
    <t>May '24</t>
  </si>
  <si>
    <t>Total Receivable</t>
  </si>
  <si>
    <t>Date of payment</t>
  </si>
  <si>
    <t>Amount received</t>
  </si>
  <si>
    <t>Balance receivable</t>
  </si>
  <si>
    <t>Remibursement details</t>
  </si>
  <si>
    <t>Summary</t>
  </si>
  <si>
    <t>Opening Balance</t>
  </si>
  <si>
    <t>Total Accrued interest</t>
  </si>
  <si>
    <t>Total Exp Oct 23 to March 24</t>
  </si>
  <si>
    <t>TDS receivable</t>
  </si>
  <si>
    <t>Corpus balance as on 1st April 2024</t>
  </si>
  <si>
    <t>Remarks</t>
  </si>
  <si>
    <t>Cheque received on 17th May 2024</t>
  </si>
  <si>
    <t>UTIBR72024051300097477</t>
  </si>
  <si>
    <t>UTIBR72024052900088444</t>
  </si>
  <si>
    <t>Interest Apr 24</t>
  </si>
  <si>
    <t>Corpus refund May 24</t>
  </si>
  <si>
    <t>Refund to association - 13/05/2024</t>
  </si>
  <si>
    <t>Refund to association - 29/05/2024</t>
  </si>
  <si>
    <t>Jun '24</t>
  </si>
  <si>
    <t>Cheque received on 6th June 2024</t>
  </si>
  <si>
    <t>UTIBR72024062900077506</t>
  </si>
  <si>
    <t>Corpus refund June 24</t>
  </si>
  <si>
    <t>Interest May 24</t>
  </si>
  <si>
    <t>AXISCN0647370534</t>
  </si>
  <si>
    <t>Total Top up and Interest  for May 24</t>
  </si>
  <si>
    <t>Refund to association - 11/06/2024</t>
  </si>
  <si>
    <t>Refund to association - 29/06/2024</t>
  </si>
  <si>
    <t>Total Top up and Interest  for Jun 24</t>
  </si>
  <si>
    <t>JUL '24</t>
  </si>
  <si>
    <t>Opening corpus as on 20th June 2022</t>
  </si>
  <si>
    <t>Notional Interest June 22 to Sept 2023</t>
  </si>
  <si>
    <t>Add:</t>
  </si>
  <si>
    <t>Less:</t>
  </si>
  <si>
    <t>Reimbursement of Electricity charges</t>
  </si>
  <si>
    <t>Maintenance expenses</t>
  </si>
  <si>
    <t>Balance Corpus as on 1st Oct 2023</t>
  </si>
  <si>
    <t>Cheque received on 8th July 2024</t>
  </si>
  <si>
    <t>AXISCN0676119614</t>
  </si>
  <si>
    <t>Interest June 24</t>
  </si>
  <si>
    <t>Refund to association - 11/07/2024</t>
  </si>
  <si>
    <t>Total Top up and Interest  for July 24</t>
  </si>
  <si>
    <t>Aug '24</t>
  </si>
  <si>
    <t>Cheque received on 20th Aug 2024</t>
  </si>
  <si>
    <t>No refund</t>
  </si>
  <si>
    <t>Total Top up and Interest  for Aug 24</t>
  </si>
  <si>
    <t>Sept '24</t>
  </si>
  <si>
    <t>Direct credit</t>
  </si>
  <si>
    <t>Total Top up and Interest  for Sept 24</t>
  </si>
  <si>
    <t>Refund to association - 13/09/2024</t>
  </si>
  <si>
    <t>NEFT/AXISP00540436369/FMD18/SOBHA PALM COURT A/HDFC0005801</t>
  </si>
  <si>
    <t>Int for Jul and Aug 24</t>
  </si>
  <si>
    <t>Oct '24</t>
  </si>
  <si>
    <t>Refund to association - 22/10/2024</t>
  </si>
  <si>
    <t>Total Top up and Interest  for Oct 24</t>
  </si>
  <si>
    <t>NEFT/AXISP00556925994/FNM-OCT-06/SOBHA PALM COURT A/HDFC0005801</t>
  </si>
  <si>
    <t>Sept 24 interest</t>
  </si>
  <si>
    <t>Nov '24</t>
  </si>
  <si>
    <t>Oct 24 interest</t>
  </si>
  <si>
    <t>NEFT/AXISP00567690289/FMKIRAN-03/SOBHA PALM COURT A/HDFC0005801</t>
  </si>
  <si>
    <t>Refund to association - 11/11/2024</t>
  </si>
  <si>
    <t>Dec '24</t>
  </si>
  <si>
    <t>10-12-2024</t>
  </si>
  <si>
    <t>NEFT/AXISCN0845557942/RELAPBP00000062349/SOBHA FOREST EDGE /IDFB0081105</t>
  </si>
  <si>
    <t>Nov 24 interest</t>
  </si>
  <si>
    <t>Refund to association - 10/12/2024</t>
  </si>
  <si>
    <t>Jan '25</t>
  </si>
  <si>
    <t>SOBHA PALM COURT EXPENSES STATEMENT 2024 -25</t>
  </si>
  <si>
    <t>Total Top up and Interest  for Nov 24</t>
  </si>
  <si>
    <t>Total Top up and Interest  for Dec 24</t>
  </si>
  <si>
    <t>Total Top up and Interest  for Jan 25</t>
  </si>
  <si>
    <t>Refund to association - 16/1/2025</t>
  </si>
  <si>
    <t>NEFT/AXISCN0889380281/RELAPBP00000074552/SOBHA PALM COURT A/HDFC0005801</t>
  </si>
  <si>
    <t>Feb '25</t>
  </si>
  <si>
    <t>Refund to association - 17/2/2025</t>
  </si>
  <si>
    <t>Total Top up and Interest  for Feb 25</t>
  </si>
  <si>
    <t>NEFT/AXISCN0920587261/RELAPBP00000086517/SOBHA PALM COURT A/HDFC0005801</t>
  </si>
  <si>
    <t>Mar '25</t>
  </si>
  <si>
    <t>Refund to association - 13/3/2025</t>
  </si>
  <si>
    <t>Total Top up and Interest  for March 25</t>
  </si>
  <si>
    <t>AXISCN0942904027</t>
  </si>
  <si>
    <t>Apr '25</t>
  </si>
  <si>
    <t>Refund to association - 19/4/2025</t>
  </si>
  <si>
    <t>Total Top up and Interest  for April 25</t>
  </si>
  <si>
    <t>AXISCN0962960570</t>
  </si>
  <si>
    <t>May '25</t>
  </si>
  <si>
    <t>AXISCN0977156159</t>
  </si>
  <si>
    <t>Refund to association - 16/5/2025</t>
  </si>
  <si>
    <t>Total Top up and Interest  for May 25</t>
  </si>
  <si>
    <t>June '25</t>
  </si>
  <si>
    <t>Refund to association</t>
  </si>
  <si>
    <t>Total Top up and Interest  for June 25</t>
  </si>
  <si>
    <t>Jul '25</t>
  </si>
  <si>
    <t>AXISCN1009901848</t>
  </si>
  <si>
    <t>Total Top up and Interest  for July 25</t>
  </si>
  <si>
    <t>Aug '25</t>
  </si>
  <si>
    <t>Total Top up and Interest  for August 25</t>
  </si>
  <si>
    <t>AXISCN1063199964</t>
  </si>
  <si>
    <t>Sept '25</t>
  </si>
  <si>
    <t>Total Top up and Interest  for Sept 25</t>
  </si>
  <si>
    <t>AXISCN1097044768</t>
  </si>
  <si>
    <t>Oct '25</t>
  </si>
  <si>
    <t>Total Top up and Interest  for Oct 25</t>
  </si>
  <si>
    <t>AXISCN1137853804</t>
  </si>
  <si>
    <t>Nov '25</t>
  </si>
  <si>
    <t>AXISCN1166080796</t>
  </si>
  <si>
    <t>Total Top up and Interest  for Nov 25</t>
  </si>
  <si>
    <t>Dec '25</t>
  </si>
  <si>
    <t>Total Top up and Interest  for Dec 25</t>
  </si>
  <si>
    <t>AXISCN1187834018</t>
  </si>
  <si>
    <t>Jan '26</t>
  </si>
  <si>
    <t>Total Top up and Interest  for Jan 26</t>
  </si>
  <si>
    <t>AXISCN1228663058</t>
  </si>
  <si>
    <t>Feb '26</t>
  </si>
  <si>
    <t>Total Top up and Interest  for Feb 26</t>
  </si>
  <si>
    <t>AXISCN1246468124</t>
  </si>
  <si>
    <t>Mar '26</t>
  </si>
  <si>
    <t>Total Top up and Interest  for Mar 26</t>
  </si>
  <si>
    <t>AXISCN1293783324</t>
  </si>
  <si>
    <t>Apr '26</t>
  </si>
  <si>
    <t>Total Top up and Interest  for Apr 26</t>
  </si>
  <si>
    <t>AXISCN1305734598</t>
  </si>
  <si>
    <t>AXISCN1343447204</t>
  </si>
  <si>
    <t>Total Top up and Interest  for May 26</t>
  </si>
  <si>
    <t>May '26</t>
  </si>
  <si>
    <t>Jun '26</t>
  </si>
  <si>
    <t>AXISCN1371580884</t>
  </si>
  <si>
    <t>Total Top up and Interest  for Jun 26</t>
  </si>
  <si>
    <t>Jul '26</t>
  </si>
  <si>
    <t>AXISCN1408350016</t>
  </si>
  <si>
    <t>Total Top up and Interest  for July 26</t>
  </si>
  <si>
    <t>Reimbursement of May 26 Maint Charges 23/07/2026</t>
  </si>
  <si>
    <t>Aug '26</t>
  </si>
  <si>
    <t>Total Top up and Interest  for Aug 26</t>
  </si>
  <si>
    <t>AXISCN1428954002</t>
  </si>
  <si>
    <t>Reimbursement of June 26 Maint Charges 14/08/2026</t>
  </si>
  <si>
    <t>Sept '26</t>
  </si>
  <si>
    <t>Interest accounted</t>
  </si>
  <si>
    <t>Excess Interest Accounted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</si>
</sst>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Tahoma"/>
      <family val="2"/>
    </font>
    <font>
      <b/>
      <sz val="1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Aptos Narrow"/>
      <family val="2"/>
    </font>
    <font>
      <sz val="11"/>
      <color rgb="FF000000"/>
      <name val="Calibri"/>
      <family val="2"/>
    </font>
    <font>
      <sz val="10"/>
      <name val="Trebuchet MS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3" fontId="1" fillId="2" borderId="1" xfId="1" applyNumberFormat="1" applyFill="1" applyBorder="1" applyAlignment="1">
      <alignment horizontal="center" vertical="center" wrapText="1"/>
    </xf>
    <xf numFmtId="1" fontId="1" fillId="2" borderId="1" xfId="1" applyNumberForma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 wrapText="1"/>
    </xf>
    <xf numFmtId="1" fontId="1" fillId="0" borderId="1" xfId="1" quotePrefix="1" applyNumberFormat="1" applyBorder="1" applyAlignment="1">
      <alignment horizontal="center" vertical="center" wrapText="1"/>
    </xf>
    <xf numFmtId="0" fontId="5" fillId="0" borderId="0" xfId="0" applyFont="1"/>
    <xf numFmtId="3" fontId="0" fillId="0" borderId="0" xfId="0" applyNumberFormat="1"/>
    <xf numFmtId="3" fontId="2" fillId="2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16" fontId="2" fillId="3" borderId="1" xfId="1" applyNumberFormat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1" fillId="3" borderId="1" xfId="1" applyFill="1" applyBorder="1" applyAlignment="1">
      <alignment horizontal="left" vertical="center" wrapText="1"/>
    </xf>
    <xf numFmtId="3" fontId="8" fillId="3" borderId="1" xfId="1" applyNumberFormat="1" applyFont="1" applyFill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16" fontId="2" fillId="3" borderId="2" xfId="1" applyNumberFormat="1" applyFont="1" applyFill="1" applyBorder="1" applyAlignment="1">
      <alignment horizontal="center" vertical="center" wrapText="1"/>
    </xf>
    <xf numFmtId="0" fontId="0" fillId="4" borderId="0" xfId="0" applyFill="1"/>
    <xf numFmtId="1" fontId="0" fillId="0" borderId="0" xfId="0" applyNumberFormat="1"/>
    <xf numFmtId="0" fontId="0" fillId="0" borderId="1" xfId="0" applyBorder="1"/>
    <xf numFmtId="0" fontId="5" fillId="0" borderId="1" xfId="0" applyFont="1" applyBorder="1"/>
    <xf numFmtId="0" fontId="7" fillId="0" borderId="0" xfId="0" applyFont="1"/>
    <xf numFmtId="16" fontId="2" fillId="3" borderId="0" xfId="1" applyNumberFormat="1" applyFont="1" applyFill="1" applyAlignment="1">
      <alignment horizontal="center" vertical="center" wrapText="1"/>
    </xf>
    <xf numFmtId="0" fontId="7" fillId="0" borderId="1" xfId="0" applyFont="1" applyBorder="1"/>
    <xf numFmtId="0" fontId="0" fillId="0" borderId="1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3" fontId="0" fillId="0" borderId="1" xfId="0" applyNumberFormat="1" applyBorder="1"/>
    <xf numFmtId="3" fontId="5" fillId="0" borderId="1" xfId="0" applyNumberFormat="1" applyFont="1" applyBorder="1"/>
    <xf numFmtId="0" fontId="5" fillId="3" borderId="2" xfId="1" applyFont="1" applyFill="1" applyBorder="1" applyAlignment="1">
      <alignment horizontal="center" vertical="center" wrapText="1"/>
    </xf>
    <xf numFmtId="17" fontId="0" fillId="0" borderId="1" xfId="0" applyNumberFormat="1" applyBorder="1"/>
    <xf numFmtId="17" fontId="7" fillId="0" borderId="1" xfId="0" applyNumberFormat="1" applyFont="1" applyBorder="1"/>
    <xf numFmtId="14" fontId="0" fillId="0" borderId="0" xfId="0" applyNumberFormat="1"/>
    <xf numFmtId="15" fontId="0" fillId="0" borderId="0" xfId="0" applyNumberFormat="1"/>
    <xf numFmtId="14" fontId="0" fillId="0" borderId="1" xfId="0" applyNumberFormat="1" applyBorder="1"/>
    <xf numFmtId="1" fontId="5" fillId="4" borderId="1" xfId="0" applyNumberFormat="1" applyFont="1" applyFill="1" applyBorder="1" applyAlignment="1">
      <alignment horizontal="center" vertical="center"/>
    </xf>
    <xf numFmtId="1" fontId="1" fillId="2" borderId="2" xfId="1" applyNumberForma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0" fillId="0" borderId="0" xfId="0" applyNumberFormat="1"/>
    <xf numFmtId="17" fontId="0" fillId="5" borderId="1" xfId="0" applyNumberFormat="1" applyFill="1" applyBorder="1"/>
    <xf numFmtId="0" fontId="7" fillId="5" borderId="1" xfId="0" applyFont="1" applyFill="1" applyBorder="1"/>
    <xf numFmtId="3" fontId="0" fillId="5" borderId="1" xfId="0" applyNumberFormat="1" applyFill="1" applyBorder="1"/>
    <xf numFmtId="0" fontId="0" fillId="5" borderId="1" xfId="0" applyFill="1" applyBorder="1"/>
    <xf numFmtId="1" fontId="1" fillId="0" borderId="1" xfId="1" applyNumberFormat="1" applyBorder="1" applyAlignment="1">
      <alignment horizontal="center" vertical="center" wrapText="1"/>
    </xf>
    <xf numFmtId="1" fontId="6" fillId="0" borderId="1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1" fontId="2" fillId="0" borderId="1" xfId="1" quotePrefix="1" applyNumberFormat="1" applyFont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1" fontId="6" fillId="0" borderId="0" xfId="1" applyNumberFormat="1" applyFont="1" applyAlignment="1">
      <alignment horizontal="center" vertical="center" wrapText="1"/>
    </xf>
    <xf numFmtId="1" fontId="1" fillId="0" borderId="0" xfId="1" applyNumberFormat="1" applyAlignment="1">
      <alignment horizontal="center" vertical="center" wrapText="1"/>
    </xf>
    <xf numFmtId="1" fontId="1" fillId="2" borderId="0" xfId="1" applyNumberFormat="1" applyFill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8" fillId="3" borderId="0" xfId="1" applyFont="1" applyFill="1" applyAlignment="1">
      <alignment horizontal="center" vertical="center" wrapText="1"/>
    </xf>
    <xf numFmtId="3" fontId="7" fillId="0" borderId="0" xfId="0" applyNumberFormat="1" applyFont="1"/>
    <xf numFmtId="14" fontId="0" fillId="0" borderId="1" xfId="0" applyNumberFormat="1" applyBorder="1" applyAlignment="1">
      <alignment horizontal="center" vertical="center"/>
    </xf>
    <xf numFmtId="0" fontId="1" fillId="3" borderId="2" xfId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1" fontId="0" fillId="0" borderId="1" xfId="0" applyNumberFormat="1" applyBorder="1"/>
    <xf numFmtId="3" fontId="2" fillId="2" borderId="2" xfId="1" applyNumberFormat="1" applyFont="1" applyFill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14" fontId="12" fillId="0" borderId="1" xfId="0" applyNumberFormat="1" applyFont="1" applyBorder="1" applyAlignment="1">
      <alignment horizontal="right" vertical="center"/>
    </xf>
    <xf numFmtId="0" fontId="13" fillId="0" borderId="1" xfId="0" applyFont="1" applyBorder="1"/>
    <xf numFmtId="4" fontId="13" fillId="0" borderId="1" xfId="0" applyNumberFormat="1" applyFont="1" applyBorder="1"/>
    <xf numFmtId="4" fontId="0" fillId="0" borderId="1" xfId="0" applyNumberFormat="1" applyBorder="1"/>
    <xf numFmtId="0" fontId="13" fillId="0" borderId="0" xfId="0" applyFont="1"/>
    <xf numFmtId="0" fontId="0" fillId="0" borderId="2" xfId="0" applyBorder="1" applyAlignment="1">
      <alignment horizontal="center" vertical="center"/>
    </xf>
    <xf numFmtId="2" fontId="0" fillId="0" borderId="1" xfId="0" applyNumberFormat="1" applyBorder="1"/>
    <xf numFmtId="2" fontId="0" fillId="0" borderId="0" xfId="0" applyNumberFormat="1"/>
    <xf numFmtId="0" fontId="14" fillId="0" borderId="1" xfId="0" applyFont="1" applyBorder="1"/>
    <xf numFmtId="0" fontId="1" fillId="0" borderId="2" xfId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0" xfId="1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CDCC4-F5BD-49DF-8186-9082F90B4E4A}">
  <sheetPr>
    <tabColor rgb="FF00B0F0"/>
    <pageSetUpPr fitToPage="1"/>
  </sheetPr>
  <dimension ref="A1:W38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2.5" x14ac:dyDescent="0.25"/>
  <cols>
    <col min="1" max="1" width="6.453125" customWidth="1"/>
    <col min="2" max="2" width="29" customWidth="1"/>
    <col min="3" max="7" width="15" customWidth="1"/>
    <col min="8" max="8" width="13.7265625" customWidth="1"/>
    <col min="9" max="9" width="12.54296875" customWidth="1"/>
    <col min="10" max="10" width="11.54296875" bestFit="1" customWidth="1"/>
    <col min="11" max="11" width="13.54296875" customWidth="1"/>
    <col min="12" max="12" width="15.54296875" customWidth="1"/>
    <col min="13" max="14" width="14.26953125" customWidth="1"/>
    <col min="15" max="17" width="11.54296875" bestFit="1" customWidth="1"/>
    <col min="18" max="19" width="12.7265625" customWidth="1"/>
    <col min="21" max="21" width="11.26953125" bestFit="1" customWidth="1"/>
    <col min="22" max="22" width="13.54296875" bestFit="1" customWidth="1"/>
    <col min="23" max="23" width="11.26953125" bestFit="1" customWidth="1"/>
  </cols>
  <sheetData>
    <row r="1" spans="1:23" ht="42" customHeight="1" x14ac:dyDescent="0.25">
      <c r="A1" s="79" t="s">
        <v>67</v>
      </c>
      <c r="B1" s="80"/>
      <c r="C1" s="80"/>
      <c r="D1" s="80"/>
      <c r="E1" s="80"/>
      <c r="F1" s="80"/>
      <c r="G1" s="80"/>
      <c r="H1" s="80"/>
      <c r="I1" s="8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3" ht="15.75" customHeight="1" x14ac:dyDescent="0.25">
      <c r="A2" s="8"/>
      <c r="B2" s="8"/>
      <c r="C2" s="9">
        <v>1</v>
      </c>
      <c r="D2" s="9">
        <f t="shared" ref="D2:S2" si="0">+C2+1</f>
        <v>2</v>
      </c>
      <c r="E2" s="9">
        <f t="shared" si="0"/>
        <v>3</v>
      </c>
      <c r="F2" s="9">
        <f t="shared" si="0"/>
        <v>4</v>
      </c>
      <c r="G2" s="9">
        <f t="shared" si="0"/>
        <v>5</v>
      </c>
      <c r="H2" s="9">
        <f t="shared" si="0"/>
        <v>6</v>
      </c>
      <c r="I2" s="9">
        <f t="shared" si="0"/>
        <v>7</v>
      </c>
      <c r="J2" s="9">
        <f t="shared" si="0"/>
        <v>8</v>
      </c>
      <c r="K2" s="9">
        <f t="shared" si="0"/>
        <v>9</v>
      </c>
      <c r="L2" s="9">
        <f t="shared" si="0"/>
        <v>10</v>
      </c>
      <c r="M2" s="9">
        <f t="shared" si="0"/>
        <v>11</v>
      </c>
      <c r="N2" s="9">
        <f t="shared" si="0"/>
        <v>12</v>
      </c>
      <c r="O2" s="9">
        <f t="shared" si="0"/>
        <v>13</v>
      </c>
      <c r="P2" s="9">
        <f t="shared" si="0"/>
        <v>14</v>
      </c>
      <c r="Q2" s="9">
        <f t="shared" si="0"/>
        <v>15</v>
      </c>
      <c r="R2" s="9">
        <f t="shared" si="0"/>
        <v>16</v>
      </c>
      <c r="S2" s="9">
        <f t="shared" si="0"/>
        <v>17</v>
      </c>
    </row>
    <row r="3" spans="1:23" ht="35.25" customHeight="1" x14ac:dyDescent="0.25">
      <c r="A3" s="10" t="s">
        <v>0</v>
      </c>
      <c r="B3" s="11" t="s">
        <v>1</v>
      </c>
      <c r="C3" s="12" t="s">
        <v>16</v>
      </c>
      <c r="D3" s="12" t="s">
        <v>17</v>
      </c>
      <c r="E3" s="12" t="s">
        <v>18</v>
      </c>
      <c r="F3" s="12" t="s">
        <v>27</v>
      </c>
      <c r="G3" s="19" t="s">
        <v>28</v>
      </c>
      <c r="H3" s="19" t="s">
        <v>29</v>
      </c>
      <c r="I3" s="19" t="s">
        <v>30</v>
      </c>
      <c r="J3" s="19" t="s">
        <v>31</v>
      </c>
      <c r="K3" s="19" t="s">
        <v>32</v>
      </c>
      <c r="L3" s="19" t="s">
        <v>33</v>
      </c>
      <c r="M3" s="19" t="s">
        <v>34</v>
      </c>
      <c r="N3" s="25" t="s">
        <v>38</v>
      </c>
      <c r="O3" s="10" t="s">
        <v>39</v>
      </c>
      <c r="P3" s="10" t="s">
        <v>40</v>
      </c>
      <c r="Q3" s="10" t="s">
        <v>41</v>
      </c>
      <c r="R3" s="10" t="s">
        <v>42</v>
      </c>
      <c r="S3" s="10" t="s">
        <v>44</v>
      </c>
    </row>
    <row r="4" spans="1:23" ht="23.25" customHeight="1" x14ac:dyDescent="0.25">
      <c r="A4" s="13">
        <v>1</v>
      </c>
      <c r="B4" s="14" t="s">
        <v>2</v>
      </c>
      <c r="C4" s="1">
        <f>294*400000</f>
        <v>117600000</v>
      </c>
      <c r="D4" s="1">
        <f t="shared" ref="D4:R4" si="1">C4+C8</f>
        <v>117834174.11666666</v>
      </c>
      <c r="E4" s="1">
        <f t="shared" si="1"/>
        <v>117639424.87744443</v>
      </c>
      <c r="F4" s="1">
        <f t="shared" si="1"/>
        <v>117422498.70996073</v>
      </c>
      <c r="G4" s="1">
        <f t="shared" si="1"/>
        <v>117324619.96802713</v>
      </c>
      <c r="H4" s="1">
        <f t="shared" si="1"/>
        <v>117157487.30114731</v>
      </c>
      <c r="I4" s="1">
        <f t="shared" si="1"/>
        <v>115966713.2664883</v>
      </c>
      <c r="J4" s="1">
        <f t="shared" si="1"/>
        <v>115462970.78826489</v>
      </c>
      <c r="K4" s="1">
        <f t="shared" si="1"/>
        <v>114160854.27685332</v>
      </c>
      <c r="L4" s="1">
        <f t="shared" si="1"/>
        <v>113596349.93869901</v>
      </c>
      <c r="M4" s="1">
        <f t="shared" si="1"/>
        <v>111791157.93829033</v>
      </c>
      <c r="N4" s="1">
        <f t="shared" si="1"/>
        <v>111136553.32454559</v>
      </c>
      <c r="O4" s="1">
        <f t="shared" si="1"/>
        <v>110428708.68004256</v>
      </c>
      <c r="P4" s="1">
        <f t="shared" si="1"/>
        <v>109754233.07124285</v>
      </c>
      <c r="Q4" s="1">
        <f t="shared" si="1"/>
        <v>108870195.95838447</v>
      </c>
      <c r="R4" s="1">
        <f t="shared" si="1"/>
        <v>108092892.2647737</v>
      </c>
      <c r="S4" s="1">
        <f>R4+R8+R9</f>
        <v>103887862.0817737</v>
      </c>
      <c r="U4" s="6"/>
    </row>
    <row r="5" spans="1:23" ht="19.5" customHeight="1" x14ac:dyDescent="0.25">
      <c r="A5" s="13">
        <f>A4+1</f>
        <v>2</v>
      </c>
      <c r="B5" s="14" t="s">
        <v>14</v>
      </c>
      <c r="C5" s="2">
        <f>(C4*0.08/12)/30*11</f>
        <v>287466.66666666663</v>
      </c>
      <c r="D5" s="2">
        <f t="shared" ref="D5:Q5" si="2">(D4*0.08/12)</f>
        <v>785561.16077777778</v>
      </c>
      <c r="E5" s="2">
        <f t="shared" si="2"/>
        <v>784262.8325162963</v>
      </c>
      <c r="F5" s="2">
        <f t="shared" si="2"/>
        <v>782816.65806640487</v>
      </c>
      <c r="G5" s="2">
        <f t="shared" si="2"/>
        <v>782164.13312018092</v>
      </c>
      <c r="H5" s="2">
        <f t="shared" si="2"/>
        <v>781049.91534098203</v>
      </c>
      <c r="I5" s="2">
        <f t="shared" si="2"/>
        <v>773111.42177658866</v>
      </c>
      <c r="J5" s="2">
        <f t="shared" si="2"/>
        <v>769753.13858843257</v>
      </c>
      <c r="K5" s="2">
        <f t="shared" si="2"/>
        <v>761072.36184568889</v>
      </c>
      <c r="L5" s="2">
        <f t="shared" si="2"/>
        <v>757308.99959132681</v>
      </c>
      <c r="M5" s="2">
        <f t="shared" si="2"/>
        <v>745274.38625526894</v>
      </c>
      <c r="N5" s="2">
        <f t="shared" si="2"/>
        <v>740910.35549697059</v>
      </c>
      <c r="O5" s="2">
        <f t="shared" si="2"/>
        <v>736191.39120028389</v>
      </c>
      <c r="P5" s="2">
        <f t="shared" si="2"/>
        <v>731694.88714161899</v>
      </c>
      <c r="Q5" s="2">
        <f t="shared" si="2"/>
        <v>725801.30638922984</v>
      </c>
      <c r="R5" s="2">
        <f>'Refund details'!F5</f>
        <v>718730</v>
      </c>
      <c r="S5" s="2"/>
      <c r="T5" s="21"/>
      <c r="U5" s="62"/>
      <c r="V5" s="26" t="s">
        <v>47</v>
      </c>
      <c r="W5" s="26" t="s">
        <v>56</v>
      </c>
    </row>
    <row r="6" spans="1:23" ht="19.5" customHeight="1" x14ac:dyDescent="0.25">
      <c r="A6" s="13">
        <f>A5+1</f>
        <v>3</v>
      </c>
      <c r="B6" s="14" t="s">
        <v>35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1"/>
      <c r="U6" s="62"/>
      <c r="V6" s="22" t="s">
        <v>129</v>
      </c>
      <c r="W6" s="29">
        <f>C4</f>
        <v>117600000</v>
      </c>
    </row>
    <row r="7" spans="1:23" ht="25" x14ac:dyDescent="0.25">
      <c r="A7" s="13">
        <f>A6+1</f>
        <v>4</v>
      </c>
      <c r="B7" s="14" t="s">
        <v>11</v>
      </c>
      <c r="C7" s="7">
        <f t="shared" ref="C7:R7" si="3">C27</f>
        <v>53292.55</v>
      </c>
      <c r="D7" s="7">
        <f t="shared" si="3"/>
        <v>980310.4</v>
      </c>
      <c r="E7" s="7">
        <f t="shared" si="3"/>
        <v>1001189</v>
      </c>
      <c r="F7" s="7">
        <f t="shared" si="3"/>
        <v>880695.4</v>
      </c>
      <c r="G7" s="7">
        <f t="shared" si="3"/>
        <v>949296.8</v>
      </c>
      <c r="H7" s="7">
        <f t="shared" si="3"/>
        <v>1971823.95</v>
      </c>
      <c r="I7" s="7">
        <f t="shared" si="3"/>
        <v>1276853.8999999999</v>
      </c>
      <c r="J7" s="7">
        <f t="shared" si="3"/>
        <v>2071869.65</v>
      </c>
      <c r="K7" s="7">
        <f t="shared" si="3"/>
        <v>1325576.7</v>
      </c>
      <c r="L7" s="7">
        <f t="shared" si="3"/>
        <v>2562501</v>
      </c>
      <c r="M7" s="7">
        <f t="shared" si="3"/>
        <v>1399879</v>
      </c>
      <c r="N7" s="7">
        <f t="shared" si="3"/>
        <v>1448755</v>
      </c>
      <c r="O7" s="7">
        <f t="shared" si="3"/>
        <v>1410667</v>
      </c>
      <c r="P7" s="7">
        <f t="shared" si="3"/>
        <v>1615732</v>
      </c>
      <c r="Q7" s="7">
        <f t="shared" si="3"/>
        <v>1503105</v>
      </c>
      <c r="R7" s="7">
        <f t="shared" si="3"/>
        <v>4423760.1830000002</v>
      </c>
      <c r="S7" s="7"/>
      <c r="U7" s="62" t="s">
        <v>131</v>
      </c>
      <c r="V7" s="22" t="s">
        <v>130</v>
      </c>
      <c r="W7" s="62">
        <f>SUM(C5:R5)</f>
        <v>11663169.614773717</v>
      </c>
    </row>
    <row r="8" spans="1:23" ht="24.75" customHeight="1" x14ac:dyDescent="0.25">
      <c r="A8" s="13">
        <f>A7+1</f>
        <v>5</v>
      </c>
      <c r="B8" s="14" t="s">
        <v>15</v>
      </c>
      <c r="C8" s="3">
        <f t="shared" ref="C8:R8" si="4">C5-C7</f>
        <v>234174.11666666664</v>
      </c>
      <c r="D8" s="3">
        <f t="shared" si="4"/>
        <v>-194749.23922222224</v>
      </c>
      <c r="E8" s="3">
        <f t="shared" si="4"/>
        <v>-216926.1674837037</v>
      </c>
      <c r="F8" s="3">
        <f t="shared" si="4"/>
        <v>-97878.741933595156</v>
      </c>
      <c r="G8" s="3">
        <f t="shared" si="4"/>
        <v>-167132.66687981912</v>
      </c>
      <c r="H8" s="3">
        <f t="shared" si="4"/>
        <v>-1190774.0346590178</v>
      </c>
      <c r="I8" s="3">
        <f t="shared" si="4"/>
        <v>-503742.47822341125</v>
      </c>
      <c r="J8" s="3">
        <f t="shared" si="4"/>
        <v>-1302116.5114115672</v>
      </c>
      <c r="K8" s="3">
        <f t="shared" si="4"/>
        <v>-564504.33815431106</v>
      </c>
      <c r="L8" s="3">
        <f t="shared" si="4"/>
        <v>-1805192.0004086732</v>
      </c>
      <c r="M8" s="3">
        <f t="shared" si="4"/>
        <v>-654604.61374473106</v>
      </c>
      <c r="N8" s="3">
        <f t="shared" si="4"/>
        <v>-707844.64450302941</v>
      </c>
      <c r="O8" s="3">
        <f t="shared" si="4"/>
        <v>-674475.60879971611</v>
      </c>
      <c r="P8" s="3">
        <f t="shared" si="4"/>
        <v>-884037.11285838101</v>
      </c>
      <c r="Q8" s="3">
        <f t="shared" si="4"/>
        <v>-777303.69361077016</v>
      </c>
      <c r="R8" s="3">
        <f t="shared" si="4"/>
        <v>-3705030.1830000002</v>
      </c>
      <c r="S8" s="3"/>
      <c r="U8" s="62" t="s">
        <v>132</v>
      </c>
      <c r="V8" s="22" t="s">
        <v>133</v>
      </c>
      <c r="W8" s="62">
        <f>-SUM(C12:R12)</f>
        <v>-6039340</v>
      </c>
    </row>
    <row r="9" spans="1:23" ht="24.75" customHeight="1" x14ac:dyDescent="0.25">
      <c r="A9" s="13">
        <f>A8+1</f>
        <v>6</v>
      </c>
      <c r="B9" s="14" t="s">
        <v>43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f>'Refund details'!E5</f>
        <v>-500000</v>
      </c>
      <c r="S9" s="3"/>
      <c r="U9" s="22" t="s">
        <v>132</v>
      </c>
      <c r="V9" s="22" t="s">
        <v>134</v>
      </c>
      <c r="W9" s="62">
        <f>-SUM(C13:R26)</f>
        <v>-18835967.533</v>
      </c>
    </row>
    <row r="10" spans="1:23" x14ac:dyDescent="0.25">
      <c r="A10" s="75" t="s">
        <v>3</v>
      </c>
      <c r="B10" s="75"/>
      <c r="U10" s="62" t="s">
        <v>132</v>
      </c>
      <c r="V10" s="22" t="s">
        <v>43</v>
      </c>
      <c r="W10" s="29">
        <f>R9</f>
        <v>-500000</v>
      </c>
    </row>
    <row r="11" spans="1:23" ht="21.75" customHeight="1" x14ac:dyDescent="0.3">
      <c r="A11" s="10" t="s">
        <v>0</v>
      </c>
      <c r="B11" s="10" t="s">
        <v>4</v>
      </c>
      <c r="C11" s="12" t="s">
        <v>16</v>
      </c>
      <c r="D11" s="12" t="s">
        <v>17</v>
      </c>
      <c r="E11" s="12" t="s">
        <v>18</v>
      </c>
      <c r="F11" s="12" t="s">
        <v>27</v>
      </c>
      <c r="G11" s="12" t="s">
        <v>28</v>
      </c>
      <c r="H11" s="12" t="s">
        <v>29</v>
      </c>
      <c r="I11" s="12" t="s">
        <v>30</v>
      </c>
      <c r="J11" s="12" t="s">
        <v>31</v>
      </c>
      <c r="K11" s="12" t="s">
        <v>32</v>
      </c>
      <c r="L11" s="12" t="s">
        <v>33</v>
      </c>
      <c r="M11" s="10" t="s">
        <v>34</v>
      </c>
      <c r="N11" s="10" t="s">
        <v>38</v>
      </c>
      <c r="O11" s="10" t="s">
        <v>39</v>
      </c>
      <c r="P11" s="10" t="s">
        <v>40</v>
      </c>
      <c r="Q11" s="10" t="s">
        <v>41</v>
      </c>
      <c r="R11" s="10" t="s">
        <v>42</v>
      </c>
      <c r="S11" s="10"/>
      <c r="U11" s="22"/>
      <c r="V11" s="22" t="s">
        <v>135</v>
      </c>
      <c r="W11" s="30">
        <f>SUM(W6:W10)</f>
        <v>103887862.08177373</v>
      </c>
    </row>
    <row r="12" spans="1:23" ht="25.5" customHeight="1" x14ac:dyDescent="0.25">
      <c r="A12" s="13">
        <v>1</v>
      </c>
      <c r="B12" s="15" t="s">
        <v>6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9">
        <v>1069733</v>
      </c>
      <c r="I12" s="49">
        <v>365273</v>
      </c>
      <c r="J12" s="49">
        <v>1097510</v>
      </c>
      <c r="K12" s="49">
        <v>329011</v>
      </c>
      <c r="L12" s="49">
        <v>352404</v>
      </c>
      <c r="M12" s="27">
        <v>355527</v>
      </c>
      <c r="N12" s="27">
        <v>469969</v>
      </c>
      <c r="O12" s="27">
        <v>486689</v>
      </c>
      <c r="P12" s="27">
        <v>534584</v>
      </c>
      <c r="Q12" s="27">
        <v>510253</v>
      </c>
      <c r="R12" s="27">
        <v>468387</v>
      </c>
      <c r="S12" s="27"/>
    </row>
    <row r="13" spans="1:23" ht="25.5" customHeight="1" x14ac:dyDescent="0.25">
      <c r="A13" s="13">
        <f t="shared" ref="A13:A26" si="5">+A12+1</f>
        <v>2</v>
      </c>
      <c r="B13" s="16" t="s">
        <v>19</v>
      </c>
      <c r="C13" s="4">
        <v>0</v>
      </c>
      <c r="D13" s="4">
        <v>105492</v>
      </c>
      <c r="E13" s="4">
        <v>96701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105492</v>
      </c>
      <c r="L13" s="4">
        <v>0</v>
      </c>
      <c r="M13" s="27">
        <v>0</v>
      </c>
      <c r="N13" s="27">
        <v>0</v>
      </c>
      <c r="O13" s="27">
        <v>0</v>
      </c>
      <c r="P13" s="27">
        <v>105492</v>
      </c>
      <c r="Q13" s="27">
        <v>0</v>
      </c>
      <c r="R13" s="27">
        <v>0</v>
      </c>
      <c r="S13" s="27"/>
    </row>
    <row r="14" spans="1:23" ht="25.5" customHeight="1" x14ac:dyDescent="0.25">
      <c r="A14" s="13">
        <f t="shared" si="5"/>
        <v>3</v>
      </c>
      <c r="B14" s="16" t="s">
        <v>9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/>
    </row>
    <row r="15" spans="1:23" ht="25.5" customHeight="1" x14ac:dyDescent="0.25">
      <c r="A15" s="13">
        <f t="shared" si="5"/>
        <v>4</v>
      </c>
      <c r="B15" s="16" t="s">
        <v>5</v>
      </c>
      <c r="C15" s="4">
        <v>9598</v>
      </c>
      <c r="D15" s="4">
        <v>272650</v>
      </c>
      <c r="E15" s="4">
        <v>304263</v>
      </c>
      <c r="F15" s="4">
        <v>310783</v>
      </c>
      <c r="G15" s="4">
        <v>311238</v>
      </c>
      <c r="H15" s="4">
        <v>313746</v>
      </c>
      <c r="I15" s="4">
        <v>315525</v>
      </c>
      <c r="J15" s="4">
        <v>315525</v>
      </c>
      <c r="K15" s="4">
        <v>315525</v>
      </c>
      <c r="L15" s="4">
        <v>315525</v>
      </c>
      <c r="M15" s="27">
        <v>304855</v>
      </c>
      <c r="N15" s="27">
        <v>314300</v>
      </c>
      <c r="O15" s="27">
        <v>315525</v>
      </c>
      <c r="P15" s="27">
        <v>312462</v>
      </c>
      <c r="Q15" s="27">
        <v>310783</v>
      </c>
      <c r="R15" s="27">
        <v>310190</v>
      </c>
      <c r="S15" s="27"/>
    </row>
    <row r="16" spans="1:23" ht="25.5" customHeight="1" x14ac:dyDescent="0.25">
      <c r="A16" s="13">
        <f t="shared" si="5"/>
        <v>5</v>
      </c>
      <c r="B16" s="16" t="s">
        <v>12</v>
      </c>
      <c r="C16" s="4">
        <v>6167</v>
      </c>
      <c r="D16" s="4">
        <v>18500</v>
      </c>
      <c r="E16" s="4">
        <v>18500</v>
      </c>
      <c r="F16" s="4">
        <v>18500</v>
      </c>
      <c r="G16" s="4">
        <v>18500</v>
      </c>
      <c r="H16" s="4">
        <v>18500</v>
      </c>
      <c r="I16" s="4">
        <v>18500</v>
      </c>
      <c r="J16" s="4">
        <v>18500</v>
      </c>
      <c r="K16" s="4">
        <v>18500</v>
      </c>
      <c r="L16" s="4">
        <v>18500</v>
      </c>
      <c r="M16" s="27">
        <v>0</v>
      </c>
      <c r="N16" s="27">
        <v>37000</v>
      </c>
      <c r="O16" s="27">
        <v>18500</v>
      </c>
      <c r="P16" s="27">
        <v>18500</v>
      </c>
      <c r="Q16" s="27">
        <v>18500</v>
      </c>
      <c r="R16" s="27">
        <v>18500</v>
      </c>
      <c r="S16" s="27"/>
    </row>
    <row r="17" spans="1:21" ht="25.5" customHeight="1" x14ac:dyDescent="0.25">
      <c r="A17" s="13">
        <f t="shared" si="5"/>
        <v>6</v>
      </c>
      <c r="B17" s="16" t="s">
        <v>20</v>
      </c>
      <c r="C17" s="4">
        <v>0</v>
      </c>
      <c r="D17" s="4">
        <v>69040</v>
      </c>
      <c r="E17" s="4">
        <v>34800</v>
      </c>
      <c r="F17" s="4">
        <v>35805</v>
      </c>
      <c r="G17" s="4">
        <v>44675</v>
      </c>
      <c r="H17" s="4">
        <v>27975</v>
      </c>
      <c r="I17" s="4">
        <v>43835</v>
      </c>
      <c r="J17" s="4">
        <v>37055</v>
      </c>
      <c r="K17" s="4">
        <v>28965</v>
      </c>
      <c r="L17" s="4">
        <v>27215</v>
      </c>
      <c r="M17" s="27">
        <v>48790</v>
      </c>
      <c r="N17" s="27">
        <v>36945</v>
      </c>
      <c r="O17" s="27">
        <v>34420</v>
      </c>
      <c r="P17" s="27">
        <v>54215</v>
      </c>
      <c r="Q17" s="27">
        <v>36920</v>
      </c>
      <c r="R17" s="27">
        <v>28550</v>
      </c>
      <c r="S17" s="27"/>
    </row>
    <row r="18" spans="1:21" ht="31.5" customHeight="1" x14ac:dyDescent="0.25">
      <c r="A18" s="13">
        <f t="shared" si="5"/>
        <v>7</v>
      </c>
      <c r="B18" s="16" t="s">
        <v>21</v>
      </c>
      <c r="C18" s="4">
        <v>20097</v>
      </c>
      <c r="D18" s="4">
        <v>17088</v>
      </c>
      <c r="E18" s="4">
        <v>44490</v>
      </c>
      <c r="F18" s="4">
        <v>33077</v>
      </c>
      <c r="G18" s="4">
        <v>42595</v>
      </c>
      <c r="H18" s="4">
        <v>46058</v>
      </c>
      <c r="I18" s="4">
        <v>35686</v>
      </c>
      <c r="J18" s="4">
        <v>52431</v>
      </c>
      <c r="K18" s="4">
        <v>15292</v>
      </c>
      <c r="L18" s="4">
        <v>40824</v>
      </c>
      <c r="M18" s="27">
        <v>36380</v>
      </c>
      <c r="N18" s="27">
        <f>38950+510</f>
        <v>39460</v>
      </c>
      <c r="O18" s="27">
        <v>17100</v>
      </c>
      <c r="P18" s="27">
        <v>48200</v>
      </c>
      <c r="Q18" s="27">
        <v>84573</v>
      </c>
      <c r="R18" s="27">
        <v>159185</v>
      </c>
      <c r="S18" s="27"/>
    </row>
    <row r="19" spans="1:21" ht="25.5" customHeight="1" x14ac:dyDescent="0.25">
      <c r="A19" s="13">
        <f t="shared" si="5"/>
        <v>8</v>
      </c>
      <c r="B19" s="16" t="s">
        <v>13</v>
      </c>
      <c r="C19" s="4">
        <v>0</v>
      </c>
      <c r="D19" s="4">
        <v>5000</v>
      </c>
      <c r="E19" s="4">
        <v>0</v>
      </c>
      <c r="F19" s="4">
        <v>10000</v>
      </c>
      <c r="G19" s="4">
        <v>5000</v>
      </c>
      <c r="H19" s="4">
        <v>5000</v>
      </c>
      <c r="I19" s="4">
        <v>5000</v>
      </c>
      <c r="J19" s="4">
        <v>5000</v>
      </c>
      <c r="K19" s="4">
        <v>5000</v>
      </c>
      <c r="L19" s="4">
        <v>1328552</v>
      </c>
      <c r="M19" s="27">
        <v>131798</v>
      </c>
      <c r="N19" s="27">
        <v>58140</v>
      </c>
      <c r="O19" s="27">
        <v>48737</v>
      </c>
      <c r="P19" s="27">
        <v>25000</v>
      </c>
      <c r="Q19" s="27">
        <v>5000</v>
      </c>
      <c r="R19" s="27">
        <v>5000</v>
      </c>
      <c r="S19" s="27"/>
    </row>
    <row r="20" spans="1:21" ht="25.5" customHeight="1" x14ac:dyDescent="0.25">
      <c r="A20" s="13">
        <f t="shared" si="5"/>
        <v>9</v>
      </c>
      <c r="B20" s="16" t="s">
        <v>22</v>
      </c>
      <c r="C20" s="4">
        <v>0</v>
      </c>
      <c r="D20" s="4">
        <v>16634</v>
      </c>
      <c r="E20" s="4">
        <v>21564</v>
      </c>
      <c r="F20" s="4">
        <v>21377</v>
      </c>
      <c r="G20" s="4">
        <v>22339</v>
      </c>
      <c r="H20" s="4">
        <v>21377</v>
      </c>
      <c r="I20" s="4">
        <v>21377</v>
      </c>
      <c r="J20" s="4">
        <v>22199</v>
      </c>
      <c r="K20" s="4">
        <v>21377</v>
      </c>
      <c r="L20" s="4">
        <v>19732</v>
      </c>
      <c r="M20" s="27">
        <v>21365</v>
      </c>
      <c r="N20" s="27">
        <v>21377</v>
      </c>
      <c r="O20" s="27">
        <v>21377</v>
      </c>
      <c r="P20" s="27">
        <v>25004</v>
      </c>
      <c r="Q20" s="27">
        <v>25004</v>
      </c>
      <c r="R20" s="27">
        <v>25004</v>
      </c>
      <c r="S20" s="27"/>
      <c r="U20">
        <f>3030464</f>
        <v>3030464</v>
      </c>
    </row>
    <row r="21" spans="1:21" ht="25.5" customHeight="1" x14ac:dyDescent="0.25">
      <c r="A21" s="13">
        <f t="shared" si="5"/>
        <v>10</v>
      </c>
      <c r="B21" s="16" t="s">
        <v>23</v>
      </c>
      <c r="C21" s="4">
        <v>844</v>
      </c>
      <c r="D21" s="4">
        <v>21943</v>
      </c>
      <c r="E21" s="4">
        <v>21943</v>
      </c>
      <c r="F21" s="4">
        <v>21737</v>
      </c>
      <c r="G21" s="4">
        <v>22725</v>
      </c>
      <c r="H21" s="4">
        <v>21737</v>
      </c>
      <c r="I21" s="4">
        <v>21737</v>
      </c>
      <c r="J21" s="4">
        <v>22573</v>
      </c>
      <c r="K21" s="4">
        <v>21737</v>
      </c>
      <c r="L21" s="4">
        <v>21547</v>
      </c>
      <c r="M21" s="27">
        <v>23349</v>
      </c>
      <c r="N21" s="27">
        <v>22445</v>
      </c>
      <c r="O21" s="27">
        <v>23343</v>
      </c>
      <c r="P21" s="27">
        <v>26610</v>
      </c>
      <c r="Q21" s="27">
        <v>26610</v>
      </c>
      <c r="R21" s="27">
        <v>26610</v>
      </c>
      <c r="S21" s="27"/>
      <c r="U21" s="48">
        <v>2713206</v>
      </c>
    </row>
    <row r="22" spans="1:21" ht="25.5" customHeight="1" x14ac:dyDescent="0.25">
      <c r="A22" s="13">
        <f t="shared" si="5"/>
        <v>11</v>
      </c>
      <c r="B22" s="16" t="s">
        <v>24</v>
      </c>
      <c r="C22" s="4">
        <v>7283</v>
      </c>
      <c r="D22" s="4">
        <v>178477</v>
      </c>
      <c r="E22" s="4">
        <v>175215</v>
      </c>
      <c r="F22" s="4">
        <v>170751</v>
      </c>
      <c r="G22" s="4">
        <v>198292</v>
      </c>
      <c r="H22" s="4">
        <v>181927</v>
      </c>
      <c r="I22" s="4">
        <v>173600</v>
      </c>
      <c r="J22" s="4">
        <v>190751</v>
      </c>
      <c r="K22" s="4">
        <v>176234</v>
      </c>
      <c r="L22" s="4">
        <v>173792</v>
      </c>
      <c r="M22" s="27">
        <v>190261</v>
      </c>
      <c r="N22" s="27">
        <v>183714</v>
      </c>
      <c r="O22" s="27">
        <v>187246</v>
      </c>
      <c r="P22" s="27">
        <v>193350</v>
      </c>
      <c r="Q22" s="27">
        <v>188392</v>
      </c>
      <c r="R22" s="27">
        <v>205600</v>
      </c>
      <c r="S22" s="27"/>
    </row>
    <row r="23" spans="1:21" ht="25.5" customHeight="1" x14ac:dyDescent="0.25">
      <c r="A23" s="13">
        <f t="shared" si="5"/>
        <v>12</v>
      </c>
      <c r="B23" s="16" t="s">
        <v>25</v>
      </c>
      <c r="C23" s="4">
        <v>2213</v>
      </c>
      <c r="D23" s="4">
        <v>65480</v>
      </c>
      <c r="E23" s="4">
        <v>67674</v>
      </c>
      <c r="F23" s="4">
        <v>52502</v>
      </c>
      <c r="G23" s="4">
        <v>66052</v>
      </c>
      <c r="H23" s="4">
        <v>55012</v>
      </c>
      <c r="I23" s="4">
        <v>67264</v>
      </c>
      <c r="J23" s="4">
        <v>64033</v>
      </c>
      <c r="K23" s="4">
        <v>71970</v>
      </c>
      <c r="L23" s="4">
        <v>67133</v>
      </c>
      <c r="M23" s="27">
        <v>70116</v>
      </c>
      <c r="N23" s="27">
        <v>57359</v>
      </c>
      <c r="O23" s="27">
        <v>60062</v>
      </c>
      <c r="P23" s="27">
        <v>55201</v>
      </c>
      <c r="Q23" s="27">
        <v>61316</v>
      </c>
      <c r="R23" s="27">
        <v>69702</v>
      </c>
      <c r="S23" s="27"/>
    </row>
    <row r="24" spans="1:21" ht="25.5" customHeight="1" x14ac:dyDescent="0.25">
      <c r="A24" s="13">
        <f t="shared" si="5"/>
        <v>13</v>
      </c>
      <c r="B24" s="16" t="s">
        <v>26</v>
      </c>
      <c r="C24" s="4">
        <v>4817</v>
      </c>
      <c r="D24" s="4">
        <v>145762</v>
      </c>
      <c r="E24" s="4">
        <v>150504</v>
      </c>
      <c r="F24" s="4">
        <v>144529</v>
      </c>
      <c r="G24" s="4">
        <v>149104</v>
      </c>
      <c r="H24" s="4">
        <v>146740</v>
      </c>
      <c r="I24" s="4">
        <v>144748</v>
      </c>
      <c r="J24" s="4">
        <v>175095</v>
      </c>
      <c r="K24" s="4">
        <v>150240</v>
      </c>
      <c r="L24" s="4">
        <v>134736</v>
      </c>
      <c r="M24" s="27">
        <v>149282</v>
      </c>
      <c r="N24" s="27">
        <v>143749</v>
      </c>
      <c r="O24" s="27">
        <v>133795</v>
      </c>
      <c r="P24" s="27">
        <v>149643</v>
      </c>
      <c r="Q24" s="27">
        <v>165701</v>
      </c>
      <c r="R24" s="27">
        <v>160619</v>
      </c>
      <c r="S24" s="27"/>
    </row>
    <row r="25" spans="1:21" ht="25.5" customHeight="1" x14ac:dyDescent="0.25">
      <c r="A25" s="13">
        <f t="shared" si="5"/>
        <v>14</v>
      </c>
      <c r="B25" s="16" t="s">
        <v>10</v>
      </c>
      <c r="C25" s="4">
        <f t="shared" ref="C25:I25" si="6">SUM(C20:C24)*15%</f>
        <v>2273.5499999999997</v>
      </c>
      <c r="D25" s="4">
        <f t="shared" si="6"/>
        <v>64244.399999999994</v>
      </c>
      <c r="E25" s="4">
        <f t="shared" si="6"/>
        <v>65535</v>
      </c>
      <c r="F25" s="4">
        <f t="shared" si="6"/>
        <v>61634.399999999994</v>
      </c>
      <c r="G25" s="4">
        <f t="shared" si="6"/>
        <v>68776.800000000003</v>
      </c>
      <c r="H25" s="4">
        <f t="shared" si="6"/>
        <v>64018.95</v>
      </c>
      <c r="I25" s="4">
        <f t="shared" si="6"/>
        <v>64308.899999999994</v>
      </c>
      <c r="J25" s="4">
        <f t="shared" ref="J25:K25" si="7">SUM(J20:J24)*15%</f>
        <v>71197.649999999994</v>
      </c>
      <c r="K25" s="4">
        <f t="shared" si="7"/>
        <v>66233.7</v>
      </c>
      <c r="L25" s="4">
        <f t="shared" ref="L25" si="8">SUM(L20:L24)*15%</f>
        <v>62541</v>
      </c>
      <c r="M25" s="27">
        <f t="shared" ref="M25:R25" si="9">ROUND(SUM(M20:M24)*15%,0)</f>
        <v>68156</v>
      </c>
      <c r="N25" s="27">
        <f t="shared" si="9"/>
        <v>64297</v>
      </c>
      <c r="O25" s="27">
        <f t="shared" si="9"/>
        <v>63873</v>
      </c>
      <c r="P25" s="27">
        <f t="shared" si="9"/>
        <v>67471</v>
      </c>
      <c r="Q25" s="27">
        <f t="shared" si="9"/>
        <v>70053</v>
      </c>
      <c r="R25" s="27">
        <f t="shared" si="9"/>
        <v>73130</v>
      </c>
      <c r="S25" s="27">
        <v>434338</v>
      </c>
    </row>
    <row r="26" spans="1:21" ht="25.5" customHeight="1" x14ac:dyDescent="0.25">
      <c r="A26" s="13">
        <f t="shared" si="5"/>
        <v>15</v>
      </c>
      <c r="B26" s="16" t="s">
        <v>36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f>SUM(C13:R25)*18%</f>
        <v>2873283.1830000002</v>
      </c>
      <c r="S26" s="4"/>
      <c r="T26" s="21"/>
    </row>
    <row r="27" spans="1:21" ht="20.25" customHeight="1" x14ac:dyDescent="0.25">
      <c r="A27" s="76" t="s">
        <v>7</v>
      </c>
      <c r="B27" s="76"/>
      <c r="C27" s="17">
        <f t="shared" ref="C27:Q27" si="10">SUM(C12:C26)</f>
        <v>53292.55</v>
      </c>
      <c r="D27" s="17">
        <f t="shared" si="10"/>
        <v>980310.4</v>
      </c>
      <c r="E27" s="17">
        <f t="shared" si="10"/>
        <v>1001189</v>
      </c>
      <c r="F27" s="17">
        <f t="shared" si="10"/>
        <v>880695.4</v>
      </c>
      <c r="G27" s="17">
        <f t="shared" si="10"/>
        <v>949296.8</v>
      </c>
      <c r="H27" s="17">
        <f t="shared" si="10"/>
        <v>1971823.95</v>
      </c>
      <c r="I27" s="17">
        <f t="shared" si="10"/>
        <v>1276853.8999999999</v>
      </c>
      <c r="J27" s="17">
        <f t="shared" si="10"/>
        <v>2071869.65</v>
      </c>
      <c r="K27" s="17">
        <f t="shared" si="10"/>
        <v>1325576.7</v>
      </c>
      <c r="L27" s="17">
        <f t="shared" si="10"/>
        <v>2562501</v>
      </c>
      <c r="M27" s="28">
        <f t="shared" si="10"/>
        <v>1399879</v>
      </c>
      <c r="N27" s="28">
        <f t="shared" si="10"/>
        <v>1448755</v>
      </c>
      <c r="O27" s="28">
        <f t="shared" si="10"/>
        <v>1410667</v>
      </c>
      <c r="P27" s="28">
        <f t="shared" si="10"/>
        <v>1615732</v>
      </c>
      <c r="Q27" s="28">
        <f t="shared" si="10"/>
        <v>1503105</v>
      </c>
      <c r="R27" s="37">
        <f>SUM(R12:R26)</f>
        <v>4423760.1830000002</v>
      </c>
      <c r="S27" s="37"/>
    </row>
    <row r="28" spans="1:21" ht="21.75" customHeight="1" x14ac:dyDescent="0.25">
      <c r="B28" s="18" t="s">
        <v>8</v>
      </c>
    </row>
    <row r="29" spans="1:21" ht="13" x14ac:dyDescent="0.3">
      <c r="A29" s="5"/>
    </row>
    <row r="30" spans="1:21" ht="13" x14ac:dyDescent="0.3">
      <c r="A30" s="5"/>
    </row>
    <row r="31" spans="1:21" ht="13" x14ac:dyDescent="0.3">
      <c r="A31" s="5"/>
    </row>
    <row r="36" spans="3:4" x14ac:dyDescent="0.25">
      <c r="C36" s="6"/>
      <c r="D36" s="6"/>
    </row>
    <row r="38" spans="3:4" x14ac:dyDescent="0.25">
      <c r="D38" s="6"/>
    </row>
  </sheetData>
  <mergeCells count="3">
    <mergeCell ref="A1:I1"/>
    <mergeCell ref="A10:B10"/>
    <mergeCell ref="A27:B27"/>
  </mergeCells>
  <conditionalFormatting sqref="C8:S9">
    <cfRule type="cellIs" dxfId="4" priority="1" operator="lessThan">
      <formula>0</formula>
    </cfRule>
  </conditionalFormatting>
  <pageMargins left="1.1000000000000001" right="0.2" top="1.3" bottom="1" header="0.5" footer="0.5"/>
  <pageSetup paperSize="9" scale="73" orientation="landscape" copies="2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A585C-EAFD-4D2D-8BA5-CA17405DB5B5}">
  <sheetPr>
    <tabColor rgb="FF00B0F0"/>
    <pageSetUpPr fitToPage="1"/>
  </sheetPr>
  <dimension ref="A1:N32"/>
  <sheetViews>
    <sheetView zoomScale="85" zoomScaleNormal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7" sqref="I7"/>
    </sheetView>
  </sheetViews>
  <sheetFormatPr defaultRowHeight="12.5" x14ac:dyDescent="0.25"/>
  <cols>
    <col min="1" max="1" width="6.453125" customWidth="1"/>
    <col min="2" max="2" width="29" customWidth="1"/>
    <col min="3" max="5" width="12.7265625" customWidth="1"/>
    <col min="6" max="6" width="12.1796875" customWidth="1"/>
    <col min="7" max="7" width="12.453125" customWidth="1"/>
    <col min="8" max="8" width="11.26953125" bestFit="1" customWidth="1"/>
    <col min="9" max="9" width="12.1796875" customWidth="1"/>
    <col min="10" max="10" width="11.26953125" bestFit="1" customWidth="1"/>
    <col min="12" max="12" width="10.26953125" bestFit="1" customWidth="1"/>
    <col min="13" max="13" width="31.7265625" bestFit="1" customWidth="1"/>
    <col min="14" max="14" width="11.26953125" bestFit="1" customWidth="1"/>
  </cols>
  <sheetData>
    <row r="1" spans="1:14" ht="42" customHeight="1" x14ac:dyDescent="0.25">
      <c r="A1" s="81" t="s">
        <v>82</v>
      </c>
      <c r="B1" s="82"/>
      <c r="C1" s="82"/>
      <c r="D1" s="82"/>
      <c r="E1" s="82"/>
      <c r="F1" s="82"/>
      <c r="G1" s="82"/>
      <c r="H1" s="82"/>
      <c r="I1" s="82"/>
    </row>
    <row r="2" spans="1:14" ht="15.75" customHeight="1" x14ac:dyDescent="0.25">
      <c r="A2" s="8"/>
      <c r="B2" s="8"/>
      <c r="C2" s="9">
        <v>1</v>
      </c>
      <c r="D2" s="9">
        <f t="shared" ref="D2:I2" si="0">+C2+1</f>
        <v>2</v>
      </c>
      <c r="E2" s="9">
        <f t="shared" si="0"/>
        <v>3</v>
      </c>
      <c r="F2" s="9">
        <f t="shared" si="0"/>
        <v>4</v>
      </c>
      <c r="G2" s="9">
        <f t="shared" si="0"/>
        <v>5</v>
      </c>
      <c r="H2" s="9">
        <f t="shared" si="0"/>
        <v>6</v>
      </c>
      <c r="I2" s="9">
        <f t="shared" si="0"/>
        <v>7</v>
      </c>
    </row>
    <row r="3" spans="1:14" ht="35.25" customHeight="1" x14ac:dyDescent="0.25">
      <c r="A3" s="10" t="s">
        <v>0</v>
      </c>
      <c r="B3" s="11" t="s">
        <v>1</v>
      </c>
      <c r="C3" s="10" t="s">
        <v>44</v>
      </c>
      <c r="D3" s="31" t="s">
        <v>64</v>
      </c>
      <c r="E3" s="31" t="s">
        <v>65</v>
      </c>
      <c r="F3" s="31" t="s">
        <v>66</v>
      </c>
      <c r="G3" s="31" t="s">
        <v>75</v>
      </c>
      <c r="H3" s="31" t="s">
        <v>79</v>
      </c>
      <c r="I3" s="31" t="s">
        <v>83</v>
      </c>
    </row>
    <row r="4" spans="1:14" ht="32.25" customHeight="1" x14ac:dyDescent="0.25">
      <c r="A4" s="13">
        <v>1</v>
      </c>
      <c r="B4" s="14" t="s">
        <v>2</v>
      </c>
      <c r="C4" s="1">
        <v>103887862</v>
      </c>
      <c r="D4" s="1">
        <f t="shared" ref="D4:I4" si="1">C4+C9+C10</f>
        <v>103099748.692</v>
      </c>
      <c r="E4" s="1">
        <f t="shared" si="1"/>
        <v>92855316.732000008</v>
      </c>
      <c r="F4" s="1">
        <f t="shared" si="1"/>
        <v>82747080.292000011</v>
      </c>
      <c r="G4" s="1">
        <f t="shared" si="1"/>
        <v>70781615.992000014</v>
      </c>
      <c r="H4" s="1">
        <f t="shared" si="1"/>
        <v>60031101.192000017</v>
      </c>
      <c r="I4" s="1">
        <f t="shared" si="1"/>
        <v>49388239.972000018</v>
      </c>
      <c r="M4" s="24" t="s">
        <v>104</v>
      </c>
    </row>
    <row r="5" spans="1:14" ht="32.25" customHeight="1" x14ac:dyDescent="0.25">
      <c r="A5" s="13">
        <f t="shared" ref="A5:A10" si="2">A4+1</f>
        <v>2</v>
      </c>
      <c r="B5" s="14" t="s">
        <v>14</v>
      </c>
      <c r="C5" s="2">
        <f>(C4*0.08/12)</f>
        <v>692585.7466666667</v>
      </c>
      <c r="D5" s="38">
        <f>'Refund details'!F11</f>
        <v>680665</v>
      </c>
      <c r="E5" s="2">
        <f>'Refund details'!F17</f>
        <v>591078</v>
      </c>
      <c r="F5" s="2">
        <f>'Refund details'!F23</f>
        <v>515836</v>
      </c>
      <c r="G5" s="2">
        <f>'Refund details'!F29</f>
        <v>433387</v>
      </c>
      <c r="H5" s="46">
        <f>'Refund details'!F35</f>
        <v>394396</v>
      </c>
      <c r="I5" s="52"/>
      <c r="M5" s="24" t="s">
        <v>105</v>
      </c>
      <c r="N5" s="6">
        <f>C4</f>
        <v>103887862</v>
      </c>
    </row>
    <row r="6" spans="1:14" ht="32.25" customHeight="1" x14ac:dyDescent="0.25">
      <c r="A6" s="13">
        <f t="shared" si="2"/>
        <v>3</v>
      </c>
      <c r="B6" s="14" t="s">
        <v>35</v>
      </c>
      <c r="C6" s="2">
        <f>C5*10%</f>
        <v>69258.574666666667</v>
      </c>
      <c r="D6" s="2">
        <f>D5*10%</f>
        <v>68066.5</v>
      </c>
      <c r="E6" s="2">
        <f t="shared" ref="E6:H6" si="3">E5*10%</f>
        <v>59107.8</v>
      </c>
      <c r="F6" s="2">
        <f t="shared" si="3"/>
        <v>51583.600000000006</v>
      </c>
      <c r="G6" s="2">
        <f t="shared" si="3"/>
        <v>43338.700000000004</v>
      </c>
      <c r="H6" s="2">
        <f t="shared" si="3"/>
        <v>39439.600000000006</v>
      </c>
      <c r="I6" s="53"/>
      <c r="M6" s="24" t="s">
        <v>106</v>
      </c>
      <c r="N6" s="21">
        <f>SUM(C5:H5)</f>
        <v>3307947.7466666666</v>
      </c>
    </row>
    <row r="7" spans="1:14" ht="32.25" customHeight="1" x14ac:dyDescent="0.25">
      <c r="A7" s="13">
        <f t="shared" si="2"/>
        <v>4</v>
      </c>
      <c r="B7" s="14" t="s">
        <v>11</v>
      </c>
      <c r="C7" s="7">
        <f t="shared" ref="C7:H7" si="4">C28</f>
        <v>1411440.48</v>
      </c>
      <c r="D7" s="7">
        <f t="shared" si="4"/>
        <v>857030.46</v>
      </c>
      <c r="E7" s="7">
        <f t="shared" si="4"/>
        <v>640206.64</v>
      </c>
      <c r="F7" s="7">
        <f t="shared" si="4"/>
        <v>661820.69999999995</v>
      </c>
      <c r="G7" s="7">
        <f t="shared" si="4"/>
        <v>676311.1</v>
      </c>
      <c r="H7" s="7">
        <f t="shared" si="4"/>
        <v>679749.62</v>
      </c>
      <c r="I7" s="6"/>
      <c r="J7" s="6"/>
      <c r="L7" s="6"/>
      <c r="M7" s="58" t="s">
        <v>35</v>
      </c>
      <c r="N7" s="21">
        <f>-SUM(C6:H6)</f>
        <v>-330794.77466666664</v>
      </c>
    </row>
    <row r="8" spans="1:14" ht="32.25" customHeight="1" x14ac:dyDescent="0.25">
      <c r="A8" s="13">
        <f t="shared" si="2"/>
        <v>5</v>
      </c>
      <c r="B8" s="14" t="s">
        <v>81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71981</v>
      </c>
      <c r="I8" s="6"/>
      <c r="J8" s="6"/>
      <c r="L8" s="6"/>
      <c r="M8" s="58" t="s">
        <v>107</v>
      </c>
      <c r="N8" s="6">
        <f>-SUM(C7:H7)</f>
        <v>-4926559</v>
      </c>
    </row>
    <row r="9" spans="1:14" ht="32.25" customHeight="1" x14ac:dyDescent="0.25">
      <c r="A9" s="13">
        <f t="shared" si="2"/>
        <v>6</v>
      </c>
      <c r="B9" s="14" t="s">
        <v>15</v>
      </c>
      <c r="C9" s="3">
        <f>C5-C6-C7</f>
        <v>-788113.30799999996</v>
      </c>
      <c r="D9" s="3">
        <f>D5-D6-D7</f>
        <v>-244431.95999999996</v>
      </c>
      <c r="E9" s="3">
        <f>E5-E6-E7</f>
        <v>-108236.44000000006</v>
      </c>
      <c r="F9" s="3">
        <f>F5-F6-F7</f>
        <v>-197568.29999999993</v>
      </c>
      <c r="G9" s="3">
        <f>G5-G6-G7</f>
        <v>-286262.8</v>
      </c>
      <c r="H9" s="3">
        <f>H5-H6-H7+H8</f>
        <v>-252812.21999999997</v>
      </c>
      <c r="I9" s="6"/>
      <c r="K9" s="21"/>
      <c r="M9" s="24" t="s">
        <v>108</v>
      </c>
      <c r="N9" s="6">
        <f>SUM(C8:H8)</f>
        <v>71981</v>
      </c>
    </row>
    <row r="10" spans="1:14" ht="32.25" customHeight="1" x14ac:dyDescent="0.25">
      <c r="A10" s="13">
        <f t="shared" si="2"/>
        <v>7</v>
      </c>
      <c r="B10" s="14" t="s">
        <v>74</v>
      </c>
      <c r="C10" s="3">
        <v>0</v>
      </c>
      <c r="D10" s="3">
        <f>'Refund details'!E11</f>
        <v>-10000000</v>
      </c>
      <c r="E10" s="3">
        <f>'Refund details'!E16</f>
        <v>-10000000</v>
      </c>
      <c r="F10" s="3">
        <f>'Refund details'!E23</f>
        <v>-11767896</v>
      </c>
      <c r="G10" s="3">
        <f>'Refund details'!E29</f>
        <v>-10464252</v>
      </c>
      <c r="H10" s="47">
        <f>'Refund details'!E35</f>
        <v>-10390049</v>
      </c>
      <c r="I10" s="51"/>
      <c r="J10" s="6"/>
      <c r="M10" s="58" t="s">
        <v>74</v>
      </c>
      <c r="N10" s="21">
        <f>SUM(C10:H10)</f>
        <v>-52622197</v>
      </c>
    </row>
    <row r="11" spans="1:14" x14ac:dyDescent="0.25">
      <c r="A11" s="75" t="s">
        <v>3</v>
      </c>
      <c r="B11" s="75"/>
    </row>
    <row r="12" spans="1:14" ht="21.75" customHeight="1" x14ac:dyDescent="0.25">
      <c r="A12" s="10" t="s">
        <v>0</v>
      </c>
      <c r="B12" s="10" t="s">
        <v>4</v>
      </c>
      <c r="C12" s="10" t="s">
        <v>44</v>
      </c>
      <c r="D12" s="10" t="s">
        <v>64</v>
      </c>
      <c r="E12" s="10" t="s">
        <v>65</v>
      </c>
      <c r="F12" s="10" t="s">
        <v>66</v>
      </c>
      <c r="G12" s="10" t="s">
        <v>75</v>
      </c>
      <c r="H12" s="10" t="s">
        <v>79</v>
      </c>
      <c r="M12" s="58" t="s">
        <v>109</v>
      </c>
      <c r="N12" s="6">
        <f>SUM(N5:N10)</f>
        <v>49388239.972000003</v>
      </c>
    </row>
    <row r="13" spans="1:14" ht="25.5" customHeight="1" x14ac:dyDescent="0.25">
      <c r="A13" s="13">
        <v>1</v>
      </c>
      <c r="B13" s="15" t="s">
        <v>6</v>
      </c>
      <c r="C13" s="27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</row>
    <row r="14" spans="1:14" ht="25.5" customHeight="1" x14ac:dyDescent="0.25">
      <c r="A14" s="13">
        <f t="shared" ref="A14:A27" si="5">+A13+1</f>
        <v>2</v>
      </c>
      <c r="B14" s="16" t="s">
        <v>19</v>
      </c>
      <c r="C14" s="27">
        <v>96701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6"/>
    </row>
    <row r="15" spans="1:14" ht="25.5" customHeight="1" x14ac:dyDescent="0.25">
      <c r="A15" s="13">
        <f t="shared" si="5"/>
        <v>3</v>
      </c>
      <c r="B15" s="16" t="s">
        <v>9</v>
      </c>
      <c r="C15" s="27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</row>
    <row r="16" spans="1:14" ht="25.5" customHeight="1" x14ac:dyDescent="0.25">
      <c r="A16" s="13">
        <f t="shared" si="5"/>
        <v>4</v>
      </c>
      <c r="B16" s="16" t="s">
        <v>5</v>
      </c>
      <c r="C16" s="27">
        <v>297150</v>
      </c>
      <c r="D16" s="39">
        <v>168000</v>
      </c>
      <c r="E16" s="39">
        <v>0</v>
      </c>
      <c r="F16" s="39">
        <v>0</v>
      </c>
      <c r="G16" s="39">
        <v>0</v>
      </c>
      <c r="H16" s="39">
        <v>0</v>
      </c>
    </row>
    <row r="17" spans="1:8" ht="25.5" customHeight="1" x14ac:dyDescent="0.25">
      <c r="A17" s="13">
        <f t="shared" si="5"/>
        <v>5</v>
      </c>
      <c r="B17" s="16" t="s">
        <v>12</v>
      </c>
      <c r="C17" s="27">
        <v>18500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</row>
    <row r="18" spans="1:8" ht="25.5" customHeight="1" x14ac:dyDescent="0.25">
      <c r="A18" s="13">
        <f t="shared" si="5"/>
        <v>6</v>
      </c>
      <c r="B18" s="16" t="s">
        <v>20</v>
      </c>
      <c r="C18" s="27">
        <v>27325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</row>
    <row r="19" spans="1:8" ht="31.5" customHeight="1" x14ac:dyDescent="0.25">
      <c r="A19" s="13">
        <f t="shared" si="5"/>
        <v>7</v>
      </c>
      <c r="B19" s="16" t="s">
        <v>21</v>
      </c>
      <c r="C19" s="27">
        <v>66764</v>
      </c>
      <c r="D19" s="39">
        <v>12550</v>
      </c>
      <c r="E19" s="39">
        <v>620</v>
      </c>
      <c r="F19" s="39">
        <v>368</v>
      </c>
      <c r="G19" s="39">
        <v>270</v>
      </c>
      <c r="H19" s="39">
        <v>0</v>
      </c>
    </row>
    <row r="20" spans="1:8" ht="25.5" customHeight="1" x14ac:dyDescent="0.25">
      <c r="A20" s="13">
        <f t="shared" si="5"/>
        <v>8</v>
      </c>
      <c r="B20" s="16" t="s">
        <v>13</v>
      </c>
      <c r="C20" s="27">
        <v>5000</v>
      </c>
      <c r="D20" s="40">
        <v>5000</v>
      </c>
      <c r="E20" s="40">
        <v>12000</v>
      </c>
      <c r="F20" s="40">
        <v>0</v>
      </c>
      <c r="G20" s="40">
        <v>0</v>
      </c>
      <c r="H20" s="40">
        <v>0</v>
      </c>
    </row>
    <row r="21" spans="1:8" ht="25.5" customHeight="1" x14ac:dyDescent="0.25">
      <c r="A21" s="13">
        <f t="shared" si="5"/>
        <v>9</v>
      </c>
      <c r="B21" s="16" t="s">
        <v>22</v>
      </c>
      <c r="C21" s="27">
        <v>39210</v>
      </c>
      <c r="D21" s="39">
        <v>25004</v>
      </c>
      <c r="E21" s="39">
        <v>25004</v>
      </c>
      <c r="F21" s="39">
        <v>30289</v>
      </c>
      <c r="G21" s="39">
        <v>28742</v>
      </c>
      <c r="H21" s="39">
        <v>28755</v>
      </c>
    </row>
    <row r="22" spans="1:8" ht="25.5" customHeight="1" x14ac:dyDescent="0.25">
      <c r="A22" s="13">
        <f t="shared" si="5"/>
        <v>10</v>
      </c>
      <c r="B22" s="16" t="s">
        <v>23</v>
      </c>
      <c r="C22" s="27">
        <v>39310</v>
      </c>
      <c r="D22" s="39">
        <v>11258</v>
      </c>
      <c r="E22" s="39">
        <v>26610</v>
      </c>
      <c r="F22" s="39">
        <v>43953</v>
      </c>
      <c r="G22" s="39">
        <v>47910</v>
      </c>
      <c r="H22" s="39">
        <v>47925</v>
      </c>
    </row>
    <row r="23" spans="1:8" ht="25.5" customHeight="1" x14ac:dyDescent="0.25">
      <c r="A23" s="13">
        <f t="shared" si="5"/>
        <v>11</v>
      </c>
      <c r="B23" s="16" t="s">
        <v>24</v>
      </c>
      <c r="C23" s="27">
        <v>245807</v>
      </c>
      <c r="D23" s="39">
        <v>200375</v>
      </c>
      <c r="E23" s="39">
        <v>191453</v>
      </c>
      <c r="F23" s="39">
        <v>180319</v>
      </c>
      <c r="G23" s="39">
        <v>188953</v>
      </c>
      <c r="H23" s="39">
        <v>199299</v>
      </c>
    </row>
    <row r="24" spans="1:8" ht="25.5" customHeight="1" x14ac:dyDescent="0.25">
      <c r="A24" s="13">
        <f t="shared" si="5"/>
        <v>12</v>
      </c>
      <c r="B24" s="16" t="s">
        <v>25</v>
      </c>
      <c r="C24" s="27">
        <v>84853</v>
      </c>
      <c r="D24" s="39">
        <v>69333</v>
      </c>
      <c r="E24" s="39">
        <v>59605</v>
      </c>
      <c r="F24" s="39">
        <v>71627</v>
      </c>
      <c r="G24" s="39">
        <v>75307</v>
      </c>
      <c r="H24" s="39">
        <v>74835</v>
      </c>
    </row>
    <row r="25" spans="1:8" ht="25.5" customHeight="1" x14ac:dyDescent="0.25">
      <c r="A25" s="13">
        <f t="shared" si="5"/>
        <v>13</v>
      </c>
      <c r="B25" s="16" t="s">
        <v>26</v>
      </c>
      <c r="C25" s="27">
        <v>203800</v>
      </c>
      <c r="D25" s="39">
        <v>164245</v>
      </c>
      <c r="E25" s="39">
        <v>158135</v>
      </c>
      <c r="F25" s="39">
        <v>161201</v>
      </c>
      <c r="G25" s="39">
        <v>157240</v>
      </c>
      <c r="H25" s="39">
        <v>150107</v>
      </c>
    </row>
    <row r="26" spans="1:8" ht="25.5" customHeight="1" x14ac:dyDescent="0.25">
      <c r="A26" s="13">
        <f t="shared" si="5"/>
        <v>14</v>
      </c>
      <c r="B26" s="16" t="s">
        <v>10</v>
      </c>
      <c r="C26" s="27">
        <f>ROUND((SUM(C21:C25)-134876)*15%,0)</f>
        <v>71716</v>
      </c>
      <c r="D26" s="27">
        <f>ROUND((SUM(D21:D25))*15%,0)</f>
        <v>70532</v>
      </c>
      <c r="E26" s="27">
        <f>ROUND((SUM(E21:E25))*15%,0)</f>
        <v>69121</v>
      </c>
      <c r="F26" s="27">
        <f>ROUND((SUM(F21:F25))*15%,0)</f>
        <v>73108</v>
      </c>
      <c r="G26" s="27">
        <f>ROUND((SUM(G21:G25))*15%,0)</f>
        <v>74723</v>
      </c>
      <c r="H26" s="27">
        <f>ROUND((SUM(H21:H25))*15%,0)</f>
        <v>75138</v>
      </c>
    </row>
    <row r="27" spans="1:8" ht="25.5" customHeight="1" x14ac:dyDescent="0.25">
      <c r="A27" s="13">
        <f t="shared" si="5"/>
        <v>15</v>
      </c>
      <c r="B27" s="16" t="s">
        <v>36</v>
      </c>
      <c r="C27" s="4">
        <f t="shared" ref="C27:H27" si="6">SUM(C14:C26)*18%</f>
        <v>215304.47999999998</v>
      </c>
      <c r="D27" s="4">
        <f t="shared" si="6"/>
        <v>130733.45999999999</v>
      </c>
      <c r="E27" s="4">
        <f t="shared" si="6"/>
        <v>97658.64</v>
      </c>
      <c r="F27" s="4">
        <f t="shared" si="6"/>
        <v>100955.7</v>
      </c>
      <c r="G27" s="4">
        <f t="shared" si="6"/>
        <v>103166.09999999999</v>
      </c>
      <c r="H27" s="4">
        <f t="shared" si="6"/>
        <v>103690.62</v>
      </c>
    </row>
    <row r="28" spans="1:8" ht="20.25" customHeight="1" x14ac:dyDescent="0.25">
      <c r="A28" s="76" t="s">
        <v>7</v>
      </c>
      <c r="B28" s="76"/>
      <c r="C28" s="37">
        <f t="shared" ref="C28:H28" si="7">SUM(C13:C27)</f>
        <v>1411440.48</v>
      </c>
      <c r="D28" s="37">
        <f t="shared" si="7"/>
        <v>857030.46</v>
      </c>
      <c r="E28" s="37">
        <f t="shared" si="7"/>
        <v>640206.64</v>
      </c>
      <c r="F28" s="37">
        <f t="shared" si="7"/>
        <v>661820.69999999995</v>
      </c>
      <c r="G28" s="37">
        <f t="shared" si="7"/>
        <v>676311.1</v>
      </c>
      <c r="H28" s="37">
        <f t="shared" si="7"/>
        <v>679749.62</v>
      </c>
    </row>
    <row r="29" spans="1:8" ht="21.75" customHeight="1" x14ac:dyDescent="0.25">
      <c r="B29" s="18" t="s">
        <v>8</v>
      </c>
    </row>
    <row r="30" spans="1:8" ht="13" x14ac:dyDescent="0.3">
      <c r="A30" s="5"/>
      <c r="H30" s="21">
        <f>H28-H27</f>
        <v>576059</v>
      </c>
    </row>
    <row r="31" spans="1:8" ht="13" x14ac:dyDescent="0.3">
      <c r="A31" s="5"/>
    </row>
    <row r="32" spans="1:8" ht="13" x14ac:dyDescent="0.3">
      <c r="A32" s="5"/>
    </row>
  </sheetData>
  <mergeCells count="3">
    <mergeCell ref="A11:B11"/>
    <mergeCell ref="A28:B28"/>
    <mergeCell ref="A1:I1"/>
  </mergeCells>
  <conditionalFormatting sqref="D9:G9 C9:C10 H9:H10 C10:G10">
    <cfRule type="cellIs" dxfId="3" priority="2" operator="lessThan">
      <formula>0</formula>
    </cfRule>
  </conditionalFormatting>
  <conditionalFormatting sqref="I10">
    <cfRule type="cellIs" dxfId="2" priority="1" operator="lessThan">
      <formula>0</formula>
    </cfRule>
  </conditionalFormatting>
  <pageMargins left="1.1000000000000001" right="0.2" top="1.3" bottom="1" header="0.5" footer="0.5"/>
  <pageSetup paperSize="9" scale="73" orientation="landscape" copies="2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95179-B2D5-4245-B54C-FC746858AD0E}">
  <sheetPr>
    <tabColor rgb="FF00B0F0"/>
    <pageSetUpPr fitToPage="1"/>
  </sheetPr>
  <dimension ref="A1:AF36"/>
  <sheetViews>
    <sheetView tabSelected="1" zoomScale="85" zoomScaleNormal="85" workbookViewId="0">
      <pane xSplit="2" ySplit="3" topLeftCell="T4" activePane="bottomRight" state="frozen"/>
      <selection pane="topRight" activeCell="C1" sqref="C1"/>
      <selection pane="bottomLeft" activeCell="A4" sqref="A4"/>
      <selection pane="bottomRight" activeCell="AF2" sqref="AF2"/>
    </sheetView>
  </sheetViews>
  <sheetFormatPr defaultRowHeight="12.5" x14ac:dyDescent="0.25"/>
  <cols>
    <col min="1" max="1" width="6.453125" customWidth="1"/>
    <col min="2" max="2" width="29" customWidth="1"/>
    <col min="3" max="3" width="12.7265625" customWidth="1"/>
    <col min="4" max="4" width="13.26953125" customWidth="1"/>
    <col min="5" max="5" width="11.26953125" bestFit="1" customWidth="1"/>
    <col min="6" max="6" width="10.54296875" bestFit="1" customWidth="1"/>
    <col min="7" max="7" width="10.26953125" bestFit="1" customWidth="1"/>
    <col min="8" max="8" width="11.54296875" customWidth="1"/>
    <col min="9" max="9" width="11.81640625" customWidth="1"/>
    <col min="10" max="15" width="10.08984375" bestFit="1" customWidth="1"/>
    <col min="16" max="16" width="10.6328125" customWidth="1"/>
    <col min="17" max="17" width="10.08984375" customWidth="1"/>
    <col min="18" max="18" width="11.90625" customWidth="1"/>
    <col min="19" max="20" width="10.08984375" bestFit="1" customWidth="1"/>
    <col min="21" max="21" width="11.453125" customWidth="1"/>
    <col min="22" max="22" width="11.08984375" customWidth="1"/>
    <col min="23" max="23" width="11.7265625" customWidth="1"/>
    <col min="24" max="24" width="10.08984375" customWidth="1"/>
    <col min="25" max="25" width="10.08984375" bestFit="1" customWidth="1"/>
    <col min="26" max="26" width="10.6328125" customWidth="1"/>
    <col min="27" max="27" width="11.26953125" customWidth="1"/>
    <col min="28" max="28" width="10" customWidth="1"/>
    <col min="29" max="29" width="10.54296875" customWidth="1"/>
    <col min="30" max="31" width="10" bestFit="1" customWidth="1"/>
  </cols>
  <sheetData>
    <row r="1" spans="1:32" ht="42" customHeight="1" x14ac:dyDescent="0.25">
      <c r="A1" s="77" t="s">
        <v>166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</row>
    <row r="2" spans="1:32" ht="15.75" customHeight="1" x14ac:dyDescent="0.25">
      <c r="A2" s="8"/>
      <c r="B2" s="8"/>
      <c r="C2" s="9">
        <v>1</v>
      </c>
      <c r="D2" s="9">
        <f t="shared" ref="D2:AF2" si="0">C2+1</f>
        <v>2</v>
      </c>
      <c r="E2" s="9">
        <f t="shared" si="0"/>
        <v>3</v>
      </c>
      <c r="F2" s="9">
        <f t="shared" si="0"/>
        <v>4</v>
      </c>
      <c r="G2" s="9">
        <f t="shared" si="0"/>
        <v>5</v>
      </c>
      <c r="H2" s="9">
        <f t="shared" si="0"/>
        <v>6</v>
      </c>
      <c r="I2" s="9">
        <f t="shared" si="0"/>
        <v>7</v>
      </c>
      <c r="J2" s="9">
        <f t="shared" si="0"/>
        <v>8</v>
      </c>
      <c r="K2" s="9">
        <f t="shared" si="0"/>
        <v>9</v>
      </c>
      <c r="L2" s="9">
        <f t="shared" si="0"/>
        <v>10</v>
      </c>
      <c r="M2" s="9">
        <f t="shared" si="0"/>
        <v>11</v>
      </c>
      <c r="N2" s="9">
        <f t="shared" si="0"/>
        <v>12</v>
      </c>
      <c r="O2" s="9">
        <f t="shared" si="0"/>
        <v>13</v>
      </c>
      <c r="P2" s="9">
        <f t="shared" si="0"/>
        <v>14</v>
      </c>
      <c r="Q2" s="9">
        <f t="shared" si="0"/>
        <v>15</v>
      </c>
      <c r="R2" s="9">
        <f t="shared" si="0"/>
        <v>16</v>
      </c>
      <c r="S2" s="9">
        <f t="shared" si="0"/>
        <v>17</v>
      </c>
      <c r="T2" s="9">
        <f t="shared" si="0"/>
        <v>18</v>
      </c>
      <c r="U2" s="9">
        <f t="shared" si="0"/>
        <v>19</v>
      </c>
      <c r="V2" s="9">
        <f t="shared" si="0"/>
        <v>20</v>
      </c>
      <c r="W2" s="9">
        <f t="shared" si="0"/>
        <v>21</v>
      </c>
      <c r="X2" s="9">
        <f t="shared" si="0"/>
        <v>22</v>
      </c>
      <c r="Y2" s="9">
        <f t="shared" si="0"/>
        <v>23</v>
      </c>
      <c r="Z2" s="9">
        <f t="shared" si="0"/>
        <v>24</v>
      </c>
      <c r="AA2" s="9">
        <f t="shared" si="0"/>
        <v>25</v>
      </c>
      <c r="AB2" s="9">
        <f t="shared" si="0"/>
        <v>26</v>
      </c>
      <c r="AC2" s="9">
        <f t="shared" si="0"/>
        <v>27</v>
      </c>
      <c r="AD2" s="9">
        <f t="shared" si="0"/>
        <v>28</v>
      </c>
      <c r="AE2" s="9">
        <f t="shared" si="0"/>
        <v>29</v>
      </c>
      <c r="AF2" s="9">
        <f t="shared" si="0"/>
        <v>30</v>
      </c>
    </row>
    <row r="3" spans="1:32" ht="35.25" customHeight="1" x14ac:dyDescent="0.25">
      <c r="A3" s="10" t="s">
        <v>0</v>
      </c>
      <c r="B3" s="11" t="s">
        <v>1</v>
      </c>
      <c r="C3" s="10" t="s">
        <v>83</v>
      </c>
      <c r="D3" s="31" t="s">
        <v>98</v>
      </c>
      <c r="E3" s="31" t="s">
        <v>118</v>
      </c>
      <c r="F3" s="31" t="s">
        <v>128</v>
      </c>
      <c r="G3" s="31" t="s">
        <v>141</v>
      </c>
      <c r="H3" s="31" t="s">
        <v>145</v>
      </c>
      <c r="I3" s="31" t="s">
        <v>151</v>
      </c>
      <c r="J3" s="31" t="s">
        <v>156</v>
      </c>
      <c r="K3" s="31" t="s">
        <v>160</v>
      </c>
      <c r="L3" s="31" t="s">
        <v>165</v>
      </c>
      <c r="M3" s="31" t="s">
        <v>172</v>
      </c>
      <c r="N3" s="31" t="s">
        <v>176</v>
      </c>
      <c r="O3" s="31" t="s">
        <v>180</v>
      </c>
      <c r="P3" s="31" t="s">
        <v>184</v>
      </c>
      <c r="Q3" s="31" t="s">
        <v>188</v>
      </c>
      <c r="R3" s="31" t="s">
        <v>191</v>
      </c>
      <c r="S3" s="31" t="s">
        <v>194</v>
      </c>
      <c r="T3" s="31" t="s">
        <v>197</v>
      </c>
      <c r="U3" s="31" t="s">
        <v>200</v>
      </c>
      <c r="V3" s="31" t="s">
        <v>203</v>
      </c>
      <c r="W3" s="31" t="s">
        <v>206</v>
      </c>
      <c r="X3" s="31" t="s">
        <v>209</v>
      </c>
      <c r="Y3" s="31" t="s">
        <v>212</v>
      </c>
      <c r="Z3" s="31" t="s">
        <v>215</v>
      </c>
      <c r="AA3" s="31" t="s">
        <v>218</v>
      </c>
      <c r="AB3" s="31" t="s">
        <v>223</v>
      </c>
      <c r="AC3" s="31" t="s">
        <v>224</v>
      </c>
      <c r="AD3" s="31" t="s">
        <v>227</v>
      </c>
      <c r="AE3" s="31" t="s">
        <v>231</v>
      </c>
      <c r="AF3" s="31" t="s">
        <v>235</v>
      </c>
    </row>
    <row r="4" spans="1:32" ht="32.25" customHeight="1" x14ac:dyDescent="0.25">
      <c r="A4" s="13">
        <v>1</v>
      </c>
      <c r="B4" s="14" t="s">
        <v>2</v>
      </c>
      <c r="C4" s="1">
        <f>'SPC Astn Oct 23 to Mar24'!I4</f>
        <v>49388239.972000018</v>
      </c>
      <c r="D4" s="1">
        <f t="shared" ref="D4:AD4" si="1">C4+C9+C10</f>
        <v>29305542.072000019</v>
      </c>
      <c r="E4" s="1">
        <f t="shared" si="1"/>
        <v>11697955.272000019</v>
      </c>
      <c r="F4" s="1">
        <f t="shared" si="1"/>
        <v>9101812.7720000185</v>
      </c>
      <c r="G4" s="1">
        <f t="shared" si="1"/>
        <v>9087616.7720000185</v>
      </c>
      <c r="H4" s="1">
        <f t="shared" si="1"/>
        <v>9142142.3720000181</v>
      </c>
      <c r="I4" s="1">
        <f t="shared" si="1"/>
        <v>9099267.0720000174</v>
      </c>
      <c r="J4" s="1">
        <f t="shared" si="1"/>
        <v>9099295.8720000181</v>
      </c>
      <c r="K4" s="1">
        <f t="shared" si="1"/>
        <v>9099183.3720000181</v>
      </c>
      <c r="L4" s="1">
        <f t="shared" si="1"/>
        <v>9099168.9720000178</v>
      </c>
      <c r="M4" s="1">
        <f t="shared" si="1"/>
        <v>9099231.9720000178</v>
      </c>
      <c r="N4" s="1">
        <f t="shared" si="1"/>
        <v>9099260.7720000185</v>
      </c>
      <c r="O4" s="1">
        <f t="shared" si="1"/>
        <v>9099200.4720000178</v>
      </c>
      <c r="P4" s="1">
        <f t="shared" si="1"/>
        <v>9099269.7720000185</v>
      </c>
      <c r="Q4" s="1">
        <f t="shared" si="1"/>
        <v>9099233.2720000185</v>
      </c>
      <c r="R4" s="1">
        <f t="shared" si="1"/>
        <v>9153829.0720000193</v>
      </c>
      <c r="S4" s="1">
        <f t="shared" si="1"/>
        <v>9099117.1720000189</v>
      </c>
      <c r="T4" s="1">
        <f t="shared" si="1"/>
        <v>9099337.6720000189</v>
      </c>
      <c r="U4" s="1">
        <f t="shared" si="1"/>
        <v>9099335.8720000181</v>
      </c>
      <c r="V4" s="1">
        <f t="shared" si="1"/>
        <v>9099390.7720000185</v>
      </c>
      <c r="W4" s="1">
        <f t="shared" si="1"/>
        <v>9099140.5720000193</v>
      </c>
      <c r="X4" s="1">
        <f t="shared" si="1"/>
        <v>9099232.3720000181</v>
      </c>
      <c r="Y4" s="1">
        <f t="shared" si="1"/>
        <v>9099307.0720000193</v>
      </c>
      <c r="Z4" s="1">
        <f t="shared" si="1"/>
        <v>9099167.5720000193</v>
      </c>
      <c r="AA4" s="1">
        <f t="shared" si="1"/>
        <v>9099337.6720000189</v>
      </c>
      <c r="AB4" s="1">
        <f t="shared" si="1"/>
        <v>9099150.4720000178</v>
      </c>
      <c r="AC4" s="1">
        <f t="shared" si="1"/>
        <v>8248044.6320000179</v>
      </c>
      <c r="AD4" s="1">
        <f>AC4+AC9+AC10</f>
        <v>7457273.3120000176</v>
      </c>
      <c r="AE4" s="1">
        <f>AD4+AD9+AD10</f>
        <v>7525920.172000017</v>
      </c>
      <c r="AF4" s="1">
        <f>AE4+AE9+AE10</f>
        <v>7496669.9720000178</v>
      </c>
    </row>
    <row r="5" spans="1:32" ht="32.25" customHeight="1" x14ac:dyDescent="0.25">
      <c r="A5" s="13">
        <f t="shared" ref="A5:A10" si="2">A4+1</f>
        <v>2</v>
      </c>
      <c r="B5" s="14" t="s">
        <v>14</v>
      </c>
      <c r="C5" s="2">
        <f>'Refund details'!F41</f>
        <v>302509</v>
      </c>
      <c r="D5" s="46">
        <f>'Refund details'!F47</f>
        <v>182968</v>
      </c>
      <c r="E5" s="46">
        <f>'Refund details'!F53</f>
        <v>76143</v>
      </c>
      <c r="F5" s="46">
        <f>'Refund details'!F58</f>
        <v>60370</v>
      </c>
      <c r="G5" s="46">
        <f>'Refund details'!F63</f>
        <v>60584</v>
      </c>
      <c r="H5" s="46">
        <f>'Refund details'!F68</f>
        <v>60513</v>
      </c>
      <c r="I5" s="46">
        <f>'Refund details'!F73</f>
        <v>60545</v>
      </c>
      <c r="J5" s="46">
        <f>'Refund details'!F78</f>
        <v>60420</v>
      </c>
      <c r="K5" s="46">
        <f>'Refund details'!F83</f>
        <v>60404</v>
      </c>
      <c r="L5" s="46">
        <f>'Refund details'!F88</f>
        <v>60474</v>
      </c>
      <c r="M5" s="46">
        <f>'Refund details'!F93</f>
        <v>60506</v>
      </c>
      <c r="N5" s="46">
        <f>'Refund details'!F98</f>
        <v>60439</v>
      </c>
      <c r="O5" s="46">
        <f>'Refund details'!F103</f>
        <v>60516</v>
      </c>
      <c r="P5" s="46">
        <f>'Refund details'!F108</f>
        <v>60475</v>
      </c>
      <c r="Q5" s="46">
        <f>'Refund details'!F113</f>
        <v>60662</v>
      </c>
      <c r="R5" s="46">
        <f>'Refund details'!F118</f>
        <v>60346</v>
      </c>
      <c r="S5" s="46">
        <f>'Refund details'!F123</f>
        <v>60591</v>
      </c>
      <c r="T5" s="46">
        <f>'Refund details'!F128</f>
        <v>60589</v>
      </c>
      <c r="U5" s="46">
        <f>'Refund details'!F133</f>
        <v>60650</v>
      </c>
      <c r="V5" s="46">
        <f>'Refund details'!F138</f>
        <v>60372</v>
      </c>
      <c r="W5" s="46">
        <f>'Refund details'!F143</f>
        <v>60474</v>
      </c>
      <c r="X5" s="46">
        <f>'Refund details'!F148</f>
        <v>60557</v>
      </c>
      <c r="Y5" s="46">
        <f>'Refund details'!F153</f>
        <v>60402</v>
      </c>
      <c r="Z5" s="46">
        <f>'Refund details'!F158</f>
        <v>60591</v>
      </c>
      <c r="AA5" s="46">
        <f>'Refund details'!F163</f>
        <v>60383</v>
      </c>
      <c r="AB5" s="46">
        <f>'Refund details'!F168</f>
        <v>60451</v>
      </c>
      <c r="AC5" s="46">
        <f>'Refund details'!F173</f>
        <v>54733</v>
      </c>
      <c r="AD5" s="46">
        <v>51554</v>
      </c>
      <c r="AE5" s="46">
        <v>58972</v>
      </c>
    </row>
    <row r="6" spans="1:32" ht="32.25" customHeight="1" x14ac:dyDescent="0.25">
      <c r="A6" s="13">
        <f t="shared" si="2"/>
        <v>3</v>
      </c>
      <c r="B6" s="14" t="s">
        <v>35</v>
      </c>
      <c r="C6" s="2">
        <f t="shared" ref="C6:O6" si="3">C5*10%</f>
        <v>30250.9</v>
      </c>
      <c r="D6" s="2">
        <f t="shared" si="3"/>
        <v>18296.8</v>
      </c>
      <c r="E6" s="2">
        <f t="shared" si="3"/>
        <v>7614.3</v>
      </c>
      <c r="F6" s="2">
        <f t="shared" si="3"/>
        <v>6037</v>
      </c>
      <c r="G6" s="2">
        <f t="shared" si="3"/>
        <v>6058.4000000000005</v>
      </c>
      <c r="H6" s="2">
        <f t="shared" si="3"/>
        <v>6051.3</v>
      </c>
      <c r="I6" s="2">
        <f t="shared" si="3"/>
        <v>6054.5</v>
      </c>
      <c r="J6" s="2">
        <f t="shared" si="3"/>
        <v>6042</v>
      </c>
      <c r="K6" s="2">
        <f t="shared" si="3"/>
        <v>6040.4000000000005</v>
      </c>
      <c r="L6" s="2">
        <f t="shared" si="3"/>
        <v>6047.4000000000005</v>
      </c>
      <c r="M6" s="2">
        <f t="shared" si="3"/>
        <v>6050.6</v>
      </c>
      <c r="N6" s="2">
        <f t="shared" si="3"/>
        <v>6043.9000000000005</v>
      </c>
      <c r="O6" s="2">
        <f t="shared" si="3"/>
        <v>6051.6</v>
      </c>
      <c r="P6" s="2">
        <f t="shared" ref="P6:AA6" si="4">P5*10%</f>
        <v>6047.5</v>
      </c>
      <c r="Q6" s="2">
        <f t="shared" si="4"/>
        <v>6066.2000000000007</v>
      </c>
      <c r="R6" s="2">
        <f t="shared" si="4"/>
        <v>6034.6</v>
      </c>
      <c r="S6" s="2">
        <f t="shared" si="4"/>
        <v>6059.1</v>
      </c>
      <c r="T6" s="2">
        <f t="shared" si="4"/>
        <v>6058.9000000000005</v>
      </c>
      <c r="U6" s="2">
        <f t="shared" si="4"/>
        <v>6065</v>
      </c>
      <c r="V6" s="2">
        <f t="shared" si="4"/>
        <v>6037.2000000000007</v>
      </c>
      <c r="W6" s="2">
        <f t="shared" si="4"/>
        <v>6047.4000000000005</v>
      </c>
      <c r="X6" s="2">
        <f t="shared" si="4"/>
        <v>6055.7000000000007</v>
      </c>
      <c r="Y6" s="2">
        <f t="shared" si="4"/>
        <v>6040.2000000000007</v>
      </c>
      <c r="Z6" s="2">
        <f t="shared" si="4"/>
        <v>6059.1</v>
      </c>
      <c r="AA6" s="2">
        <f t="shared" si="4"/>
        <v>6038.3</v>
      </c>
      <c r="AB6" s="2">
        <f t="shared" ref="AB6:AE6" si="5">AB5*10%</f>
        <v>6045.1</v>
      </c>
      <c r="AC6" s="2">
        <f t="shared" si="5"/>
        <v>5473.3</v>
      </c>
      <c r="AD6" s="2">
        <f t="shared" si="5"/>
        <v>5155.4000000000005</v>
      </c>
      <c r="AE6" s="2">
        <f t="shared" si="5"/>
        <v>5897.2000000000007</v>
      </c>
    </row>
    <row r="7" spans="1:32" ht="32.25" customHeight="1" x14ac:dyDescent="0.25">
      <c r="A7" s="13">
        <f t="shared" si="2"/>
        <v>4</v>
      </c>
      <c r="B7" s="14" t="s">
        <v>11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f>AB28</f>
        <v>851167.04</v>
      </c>
      <c r="AC7" s="7">
        <f>AC28</f>
        <v>785625.12</v>
      </c>
      <c r="AD7" s="7">
        <f>-'Refund details'!E178+AD28</f>
        <v>-71507.959999999963</v>
      </c>
      <c r="AE7" s="7">
        <f>-'Refund details'!E184+AE28</f>
        <v>35926.400000000023</v>
      </c>
    </row>
    <row r="8" spans="1:32" ht="32.25" customHeight="1" x14ac:dyDescent="0.25">
      <c r="A8" s="13">
        <f t="shared" si="2"/>
        <v>5</v>
      </c>
      <c r="B8" s="14" t="s">
        <v>81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11522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  <c r="Q8" s="63">
        <v>0</v>
      </c>
      <c r="R8" s="63">
        <v>0</v>
      </c>
      <c r="S8" s="63">
        <v>0</v>
      </c>
      <c r="T8" s="63">
        <v>0</v>
      </c>
      <c r="U8" s="63">
        <v>0</v>
      </c>
      <c r="V8" s="63">
        <v>0</v>
      </c>
      <c r="W8" s="63">
        <v>0</v>
      </c>
      <c r="X8" s="63">
        <v>0</v>
      </c>
      <c r="Y8" s="63">
        <v>0</v>
      </c>
      <c r="Z8" s="63">
        <v>0</v>
      </c>
      <c r="AA8" s="63">
        <v>0</v>
      </c>
      <c r="AB8" s="63">
        <v>0</v>
      </c>
      <c r="AC8" s="63">
        <v>0</v>
      </c>
      <c r="AD8" s="63">
        <v>0</v>
      </c>
      <c r="AE8" s="63">
        <v>0</v>
      </c>
    </row>
    <row r="9" spans="1:32" ht="32.25" customHeight="1" x14ac:dyDescent="0.25">
      <c r="A9" s="13">
        <f t="shared" si="2"/>
        <v>6</v>
      </c>
      <c r="B9" s="14" t="s">
        <v>15</v>
      </c>
      <c r="C9" s="3">
        <f t="shared" ref="C9:I9" si="6">C5-C6-C7+C8</f>
        <v>272258.09999999998</v>
      </c>
      <c r="D9" s="3">
        <f t="shared" si="6"/>
        <v>164671.20000000001</v>
      </c>
      <c r="E9" s="3">
        <f t="shared" si="6"/>
        <v>68528.7</v>
      </c>
      <c r="F9" s="3">
        <f t="shared" si="6"/>
        <v>54333</v>
      </c>
      <c r="G9" s="3">
        <f t="shared" si="6"/>
        <v>54525.599999999999</v>
      </c>
      <c r="H9" s="3">
        <f t="shared" si="6"/>
        <v>65983.7</v>
      </c>
      <c r="I9" s="3">
        <f t="shared" si="6"/>
        <v>54490.5</v>
      </c>
      <c r="J9" s="3">
        <f t="shared" ref="J9" si="7">J5-J6-J7+J8</f>
        <v>54378</v>
      </c>
      <c r="K9" s="3">
        <f t="shared" ref="K9:R9" si="8">K5-K6-K7+K8</f>
        <v>54363.6</v>
      </c>
      <c r="L9" s="3">
        <f t="shared" si="8"/>
        <v>54426.6</v>
      </c>
      <c r="M9" s="3">
        <f t="shared" si="8"/>
        <v>54455.4</v>
      </c>
      <c r="N9" s="3">
        <f t="shared" si="8"/>
        <v>54395.1</v>
      </c>
      <c r="O9" s="3">
        <f t="shared" si="8"/>
        <v>54464.4</v>
      </c>
      <c r="P9" s="3">
        <f t="shared" si="8"/>
        <v>54427.5</v>
      </c>
      <c r="Q9" s="3">
        <f t="shared" si="8"/>
        <v>54595.8</v>
      </c>
      <c r="R9" s="3">
        <f t="shared" si="8"/>
        <v>54311.4</v>
      </c>
      <c r="S9" s="3">
        <f t="shared" ref="S9:Y9" si="9">S5-S6-S7+S8</f>
        <v>54531.9</v>
      </c>
      <c r="T9" s="3">
        <f t="shared" si="9"/>
        <v>54530.1</v>
      </c>
      <c r="U9" s="3">
        <f t="shared" si="9"/>
        <v>54585</v>
      </c>
      <c r="V9" s="3">
        <f t="shared" si="9"/>
        <v>54334.8</v>
      </c>
      <c r="W9" s="3">
        <f t="shared" si="9"/>
        <v>54426.6</v>
      </c>
      <c r="X9" s="3">
        <f t="shared" si="9"/>
        <v>54501.3</v>
      </c>
      <c r="Y9" s="3">
        <f t="shared" si="9"/>
        <v>54361.8</v>
      </c>
      <c r="Z9" s="3">
        <f t="shared" ref="Z9:AA9" si="10">Z5-Z6-Z7+Z8</f>
        <v>54531.9</v>
      </c>
      <c r="AA9" s="3">
        <f t="shared" si="10"/>
        <v>54344.7</v>
      </c>
      <c r="AB9" s="3">
        <f t="shared" ref="AB9:AE9" si="11">AB5-AB6-AB7+AB8</f>
        <v>-796761.14</v>
      </c>
      <c r="AC9" s="3">
        <f t="shared" si="11"/>
        <v>-736365.42</v>
      </c>
      <c r="AD9" s="3">
        <f t="shared" si="11"/>
        <v>117906.55999999997</v>
      </c>
      <c r="AE9" s="3">
        <f t="shared" si="11"/>
        <v>17148.39999999998</v>
      </c>
    </row>
    <row r="10" spans="1:32" ht="32.25" customHeight="1" x14ac:dyDescent="0.25">
      <c r="A10" s="13">
        <f t="shared" si="2"/>
        <v>7</v>
      </c>
      <c r="B10" s="14" t="s">
        <v>74</v>
      </c>
      <c r="C10" s="3">
        <f>'Refund details'!E41</f>
        <v>-20354956</v>
      </c>
      <c r="D10" s="47">
        <f>'Refund details'!E47</f>
        <v>-17772258</v>
      </c>
      <c r="E10" s="47">
        <f>'Refund details'!E53</f>
        <v>-2664671.2000000002</v>
      </c>
      <c r="F10" s="47">
        <f>'Refund details'!E58</f>
        <v>-68529</v>
      </c>
      <c r="G10" s="47">
        <f>'Refund details'!E63</f>
        <v>0</v>
      </c>
      <c r="H10" s="47">
        <f>'Refund details'!E68</f>
        <v>-108859</v>
      </c>
      <c r="I10" s="47">
        <f>'Refund details'!E73</f>
        <v>-54461.7</v>
      </c>
      <c r="J10" s="47">
        <f>'Refund details'!E78</f>
        <v>-54490.5</v>
      </c>
      <c r="K10" s="47">
        <f>'Refund details'!E83</f>
        <v>-54378</v>
      </c>
      <c r="L10" s="47">
        <f>'Refund details'!E88</f>
        <v>-54363.6</v>
      </c>
      <c r="M10" s="47">
        <f>'Refund details'!E93</f>
        <v>-54426.6</v>
      </c>
      <c r="N10" s="47">
        <f>'Refund details'!E98</f>
        <v>-54455.4</v>
      </c>
      <c r="O10" s="47">
        <f>'Refund details'!E103</f>
        <v>-54395.1</v>
      </c>
      <c r="P10" s="47">
        <f>'Refund details'!E108</f>
        <v>-54464</v>
      </c>
      <c r="Q10" s="47">
        <v>0</v>
      </c>
      <c r="R10" s="47">
        <f>'Refund details'!E117</f>
        <v>-109023.3</v>
      </c>
      <c r="S10" s="47">
        <f>'Refund details'!E122</f>
        <v>-54311.4</v>
      </c>
      <c r="T10" s="47">
        <f>'Refund details'!E127</f>
        <v>-54531.9</v>
      </c>
      <c r="U10" s="47">
        <f>'Refund details'!E132</f>
        <v>-54530.1</v>
      </c>
      <c r="V10" s="47">
        <f>'Refund details'!E137</f>
        <v>-54585</v>
      </c>
      <c r="W10" s="47">
        <f>'Refund details'!E142</f>
        <v>-54334.8</v>
      </c>
      <c r="X10" s="47">
        <f>'Refund details'!E147</f>
        <v>-54426.6</v>
      </c>
      <c r="Y10" s="47">
        <f>'Refund details'!E152</f>
        <v>-54501.3</v>
      </c>
      <c r="Z10" s="47">
        <f>'Refund details'!E157</f>
        <v>-54361.8</v>
      </c>
      <c r="AA10" s="47">
        <f>'Refund details'!E163</f>
        <v>-54531.9</v>
      </c>
      <c r="AB10" s="47">
        <f>'Refund details'!E167</f>
        <v>-54344.7</v>
      </c>
      <c r="AC10" s="47">
        <f>'Refund details'!E172</f>
        <v>-54405.9</v>
      </c>
      <c r="AD10" s="47">
        <f>'Refund details'!E177</f>
        <v>-49259.7</v>
      </c>
      <c r="AE10" s="47">
        <f>'Refund details'!E183</f>
        <v>-46398.6</v>
      </c>
    </row>
    <row r="11" spans="1:32" x14ac:dyDescent="0.25">
      <c r="A11" s="75" t="s">
        <v>3</v>
      </c>
      <c r="B11" s="75"/>
    </row>
    <row r="12" spans="1:32" ht="21.75" customHeight="1" x14ac:dyDescent="0.25">
      <c r="A12" s="10" t="s">
        <v>0</v>
      </c>
      <c r="B12" s="10" t="s">
        <v>4</v>
      </c>
      <c r="C12" s="10" t="s">
        <v>83</v>
      </c>
      <c r="D12" s="10" t="s">
        <v>98</v>
      </c>
      <c r="E12" s="10" t="s">
        <v>118</v>
      </c>
      <c r="F12" s="10" t="s">
        <v>128</v>
      </c>
      <c r="G12" s="10" t="s">
        <v>141</v>
      </c>
      <c r="H12" s="10" t="s">
        <v>145</v>
      </c>
      <c r="I12" s="10" t="s">
        <v>151</v>
      </c>
      <c r="J12" s="10" t="s">
        <v>156</v>
      </c>
      <c r="K12" s="10" t="s">
        <v>160</v>
      </c>
      <c r="L12" s="10" t="s">
        <v>165</v>
      </c>
      <c r="M12" s="10" t="s">
        <v>172</v>
      </c>
      <c r="N12" s="10" t="s">
        <v>176</v>
      </c>
      <c r="O12" s="10" t="s">
        <v>180</v>
      </c>
      <c r="P12" s="10" t="s">
        <v>184</v>
      </c>
      <c r="Q12" s="10" t="s">
        <v>188</v>
      </c>
      <c r="R12" s="10" t="s">
        <v>191</v>
      </c>
      <c r="S12" s="10" t="s">
        <v>194</v>
      </c>
      <c r="T12" s="10" t="s">
        <v>197</v>
      </c>
      <c r="U12" s="10" t="s">
        <v>200</v>
      </c>
      <c r="V12" s="10" t="s">
        <v>203</v>
      </c>
      <c r="W12" s="10" t="s">
        <v>206</v>
      </c>
      <c r="X12" s="10" t="s">
        <v>209</v>
      </c>
      <c r="Y12" s="10" t="s">
        <v>212</v>
      </c>
      <c r="Z12" s="10" t="s">
        <v>215</v>
      </c>
      <c r="AA12" s="10" t="s">
        <v>218</v>
      </c>
      <c r="AB12" s="10" t="s">
        <v>223</v>
      </c>
      <c r="AC12" s="10" t="s">
        <v>224</v>
      </c>
      <c r="AD12" s="10" t="s">
        <v>227</v>
      </c>
      <c r="AE12" s="31" t="s">
        <v>231</v>
      </c>
    </row>
    <row r="13" spans="1:32" ht="25.5" customHeight="1" x14ac:dyDescent="0.25">
      <c r="A13" s="13">
        <v>1</v>
      </c>
      <c r="B13" s="15" t="s">
        <v>6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</row>
    <row r="14" spans="1:32" ht="25.5" customHeight="1" x14ac:dyDescent="0.25">
      <c r="A14" s="13">
        <f t="shared" ref="A14:A27" si="12">+A13+1</f>
        <v>2</v>
      </c>
      <c r="B14" s="16" t="s">
        <v>19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</row>
    <row r="15" spans="1:32" ht="25.5" customHeight="1" x14ac:dyDescent="0.25">
      <c r="A15" s="13">
        <f t="shared" si="12"/>
        <v>3</v>
      </c>
      <c r="B15" s="16" t="s">
        <v>9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</row>
    <row r="16" spans="1:32" ht="25.5" customHeight="1" x14ac:dyDescent="0.25">
      <c r="A16" s="13">
        <f t="shared" si="12"/>
        <v>4</v>
      </c>
      <c r="B16" s="16" t="s">
        <v>5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</row>
    <row r="17" spans="1:31" ht="25.5" customHeight="1" x14ac:dyDescent="0.25">
      <c r="A17" s="13">
        <f t="shared" si="12"/>
        <v>5</v>
      </c>
      <c r="B17" s="16" t="s">
        <v>12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</row>
    <row r="18" spans="1:31" ht="25.5" customHeight="1" x14ac:dyDescent="0.25">
      <c r="A18" s="13">
        <f t="shared" si="12"/>
        <v>6</v>
      </c>
      <c r="B18" s="16" t="s">
        <v>20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</row>
    <row r="19" spans="1:31" ht="31.5" customHeight="1" x14ac:dyDescent="0.25">
      <c r="A19" s="13">
        <f t="shared" si="12"/>
        <v>7</v>
      </c>
      <c r="B19" s="16" t="s">
        <v>21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0</v>
      </c>
      <c r="AE19" s="27">
        <v>0</v>
      </c>
    </row>
    <row r="20" spans="1:31" ht="25.5" customHeight="1" x14ac:dyDescent="0.25">
      <c r="A20" s="13">
        <f t="shared" si="12"/>
        <v>8</v>
      </c>
      <c r="B20" s="16" t="s">
        <v>13</v>
      </c>
      <c r="C20" s="27">
        <v>172</v>
      </c>
      <c r="D20" s="27">
        <v>126</v>
      </c>
      <c r="E20" s="27">
        <v>336</v>
      </c>
      <c r="F20" s="27">
        <v>244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</row>
    <row r="21" spans="1:31" ht="25.5" customHeight="1" x14ac:dyDescent="0.25">
      <c r="A21" s="13">
        <f t="shared" si="12"/>
        <v>9</v>
      </c>
      <c r="B21" s="16" t="s">
        <v>22</v>
      </c>
      <c r="C21" s="27">
        <v>28755</v>
      </c>
      <c r="D21" s="27">
        <v>28755</v>
      </c>
      <c r="E21" s="27">
        <v>28755</v>
      </c>
      <c r="F21" s="27">
        <v>28742</v>
      </c>
      <c r="G21" s="27">
        <v>28742</v>
      </c>
      <c r="H21" s="27">
        <v>28755</v>
      </c>
      <c r="I21" s="27">
        <v>53641</v>
      </c>
      <c r="J21" s="27">
        <v>28755</v>
      </c>
      <c r="K21" s="27">
        <v>28742</v>
      </c>
      <c r="L21" s="27">
        <v>29120</v>
      </c>
      <c r="M21" s="27">
        <v>31461</v>
      </c>
      <c r="N21" s="27">
        <v>32382</v>
      </c>
      <c r="O21" s="27">
        <v>31954</v>
      </c>
      <c r="P21" s="27">
        <v>31954</v>
      </c>
      <c r="Q21" s="27">
        <v>31947</v>
      </c>
      <c r="R21" s="27">
        <v>31950</v>
      </c>
      <c r="S21" s="27">
        <v>31947</v>
      </c>
      <c r="T21" s="27">
        <v>58954</v>
      </c>
      <c r="U21" s="27">
        <v>29550</v>
      </c>
      <c r="V21" s="27">
        <v>31950</v>
      </c>
      <c r="W21" s="27">
        <v>30800</v>
      </c>
      <c r="X21" s="27">
        <v>30800</v>
      </c>
      <c r="Y21" s="27">
        <v>30836</v>
      </c>
      <c r="Z21" s="27">
        <v>31950</v>
      </c>
      <c r="AA21" s="27">
        <v>35125</v>
      </c>
      <c r="AB21" s="27">
        <v>64115</v>
      </c>
      <c r="AC21" s="27">
        <v>28977</v>
      </c>
      <c r="AD21" s="27">
        <v>29000</v>
      </c>
      <c r="AE21" s="27">
        <v>25974</v>
      </c>
    </row>
    <row r="22" spans="1:31" ht="25.5" customHeight="1" x14ac:dyDescent="0.25">
      <c r="A22" s="13">
        <f t="shared" si="12"/>
        <v>10</v>
      </c>
      <c r="B22" s="16" t="s">
        <v>23</v>
      </c>
      <c r="C22" s="27">
        <v>44750</v>
      </c>
      <c r="D22" s="27">
        <v>47898</v>
      </c>
      <c r="E22" s="27">
        <v>47905</v>
      </c>
      <c r="F22" s="27">
        <v>46881</v>
      </c>
      <c r="G22" s="27">
        <v>46266</v>
      </c>
      <c r="H22" s="27">
        <v>47116</v>
      </c>
      <c r="I22" s="27">
        <v>72968</v>
      </c>
      <c r="J22" s="27">
        <v>46920</v>
      </c>
      <c r="K22" s="27">
        <v>47904</v>
      </c>
      <c r="L22" s="27">
        <v>52550</v>
      </c>
      <c r="M22" s="27">
        <v>55281</v>
      </c>
      <c r="N22" s="27">
        <v>53412</v>
      </c>
      <c r="O22" s="27">
        <v>53416</v>
      </c>
      <c r="P22" s="27">
        <v>56004</v>
      </c>
      <c r="Q22" s="27">
        <v>55983</v>
      </c>
      <c r="R22" s="27">
        <v>56000</v>
      </c>
      <c r="S22" s="27">
        <v>56010</v>
      </c>
      <c r="T22" s="27">
        <v>82607</v>
      </c>
      <c r="U22" s="27">
        <v>32949</v>
      </c>
      <c r="V22" s="27">
        <v>50457</v>
      </c>
      <c r="W22" s="27">
        <v>49040</v>
      </c>
      <c r="X22" s="27">
        <v>41648</v>
      </c>
      <c r="Y22" s="27">
        <v>33999</v>
      </c>
      <c r="Z22" s="27">
        <v>32655</v>
      </c>
      <c r="AA22" s="27">
        <v>33982</v>
      </c>
      <c r="AB22" s="27">
        <v>33982</v>
      </c>
      <c r="AC22" s="27">
        <v>33999</v>
      </c>
      <c r="AD22" s="27">
        <v>34000</v>
      </c>
      <c r="AE22" s="27">
        <v>32812</v>
      </c>
    </row>
    <row r="23" spans="1:31" ht="25.5" customHeight="1" x14ac:dyDescent="0.25">
      <c r="A23" s="13">
        <f t="shared" si="12"/>
        <v>11</v>
      </c>
      <c r="B23" s="16" t="s">
        <v>24</v>
      </c>
      <c r="C23" s="27">
        <v>203272</v>
      </c>
      <c r="D23" s="27">
        <v>193822</v>
      </c>
      <c r="E23" s="27">
        <v>200310</v>
      </c>
      <c r="F23" s="27">
        <v>200682</v>
      </c>
      <c r="G23" s="27">
        <v>201599</v>
      </c>
      <c r="H23" s="27">
        <v>204352</v>
      </c>
      <c r="I23" s="27">
        <v>317346</v>
      </c>
      <c r="J23" s="27">
        <v>200773</v>
      </c>
      <c r="K23" s="27">
        <v>191331</v>
      </c>
      <c r="L23" s="27">
        <v>240170</v>
      </c>
      <c r="M23" s="27">
        <v>240491</v>
      </c>
      <c r="N23" s="27">
        <v>235882</v>
      </c>
      <c r="O23" s="27">
        <v>232663</v>
      </c>
      <c r="P23" s="27">
        <v>229636</v>
      </c>
      <c r="Q23" s="27">
        <v>242575</v>
      </c>
      <c r="R23" s="27">
        <v>257638</v>
      </c>
      <c r="S23" s="27">
        <v>255214</v>
      </c>
      <c r="T23" s="27">
        <v>404722</v>
      </c>
      <c r="U23" s="27">
        <v>238277</v>
      </c>
      <c r="V23" s="27">
        <v>246846</v>
      </c>
      <c r="W23" s="27">
        <v>250362</v>
      </c>
      <c r="X23" s="27">
        <v>254783</v>
      </c>
      <c r="Y23" s="27">
        <v>240114</v>
      </c>
      <c r="Z23" s="27">
        <v>253471</v>
      </c>
      <c r="AA23" s="27">
        <v>245381</v>
      </c>
      <c r="AB23" s="27">
        <v>240912</v>
      </c>
      <c r="AC23" s="27">
        <v>239462</v>
      </c>
      <c r="AD23" s="27">
        <v>224747</v>
      </c>
      <c r="AE23" s="27">
        <v>242634</v>
      </c>
    </row>
    <row r="24" spans="1:31" ht="25.5" customHeight="1" x14ac:dyDescent="0.25">
      <c r="A24" s="13">
        <f t="shared" si="12"/>
        <v>12</v>
      </c>
      <c r="B24" s="16" t="s">
        <v>25</v>
      </c>
      <c r="C24" s="27">
        <v>56973</v>
      </c>
      <c r="D24" s="27">
        <v>84644</v>
      </c>
      <c r="E24" s="27">
        <v>80018</v>
      </c>
      <c r="F24" s="27">
        <v>73480</v>
      </c>
      <c r="G24" s="27">
        <v>73242</v>
      </c>
      <c r="H24" s="27">
        <v>74541</v>
      </c>
      <c r="I24" s="27">
        <v>103360</v>
      </c>
      <c r="J24" s="27">
        <v>73309</v>
      </c>
      <c r="K24" s="27">
        <v>74223</v>
      </c>
      <c r="L24" s="27">
        <v>86466</v>
      </c>
      <c r="M24" s="27">
        <v>87101</v>
      </c>
      <c r="N24" s="27">
        <v>86944</v>
      </c>
      <c r="O24" s="27">
        <v>80336</v>
      </c>
      <c r="P24" s="27">
        <v>87154</v>
      </c>
      <c r="Q24" s="27">
        <v>90939</v>
      </c>
      <c r="R24" s="27">
        <v>90271</v>
      </c>
      <c r="S24" s="27">
        <v>90012</v>
      </c>
      <c r="T24" s="27">
        <v>147909</v>
      </c>
      <c r="U24" s="27">
        <v>86639</v>
      </c>
      <c r="V24" s="27">
        <v>91542</v>
      </c>
      <c r="W24" s="27">
        <v>92196</v>
      </c>
      <c r="X24" s="27">
        <v>94737</v>
      </c>
      <c r="Y24" s="27">
        <v>93598</v>
      </c>
      <c r="Z24" s="27">
        <v>78001</v>
      </c>
      <c r="AA24" s="27">
        <v>87042</v>
      </c>
      <c r="AB24" s="27">
        <v>91318</v>
      </c>
      <c r="AC24" s="27">
        <v>95448</v>
      </c>
      <c r="AD24" s="27">
        <v>94134</v>
      </c>
      <c r="AE24" s="27">
        <v>94156</v>
      </c>
    </row>
    <row r="25" spans="1:31" ht="25.5" customHeight="1" x14ac:dyDescent="0.25">
      <c r="A25" s="13">
        <f t="shared" si="12"/>
        <v>13</v>
      </c>
      <c r="B25" s="16" t="s">
        <v>26</v>
      </c>
      <c r="C25" s="27">
        <v>160521</v>
      </c>
      <c r="D25" s="27">
        <v>155132</v>
      </c>
      <c r="E25" s="27">
        <v>160521</v>
      </c>
      <c r="F25" s="27">
        <v>159305</v>
      </c>
      <c r="G25" s="27">
        <v>163034</v>
      </c>
      <c r="H25" s="27">
        <v>163823</v>
      </c>
      <c r="I25" s="27">
        <v>228733</v>
      </c>
      <c r="J25" s="27">
        <v>165173</v>
      </c>
      <c r="K25" s="27">
        <v>158848</v>
      </c>
      <c r="L25" s="27">
        <v>184912</v>
      </c>
      <c r="M25" s="27">
        <v>179376</v>
      </c>
      <c r="N25" s="27">
        <v>162858</v>
      </c>
      <c r="O25" s="27">
        <v>160706</v>
      </c>
      <c r="P25" s="27">
        <v>205322</v>
      </c>
      <c r="Q25" s="27">
        <v>212370</v>
      </c>
      <c r="R25" s="27">
        <v>204400</v>
      </c>
      <c r="S25" s="27">
        <v>214989</v>
      </c>
      <c r="T25" s="27">
        <v>288585</v>
      </c>
      <c r="U25" s="27">
        <v>206750</v>
      </c>
      <c r="V25" s="27">
        <v>208220</v>
      </c>
      <c r="W25" s="27">
        <v>195127</v>
      </c>
      <c r="X25" s="27">
        <v>218868</v>
      </c>
      <c r="Y25" s="27">
        <v>211965</v>
      </c>
      <c r="Z25" s="27">
        <v>196026</v>
      </c>
      <c r="AA25" s="27">
        <v>208112</v>
      </c>
      <c r="AB25" s="27">
        <v>196915</v>
      </c>
      <c r="AC25" s="27">
        <v>181057</v>
      </c>
      <c r="AD25" s="27">
        <v>192665</v>
      </c>
      <c r="AE25" s="27">
        <v>209841</v>
      </c>
    </row>
    <row r="26" spans="1:31" ht="25.5" customHeight="1" x14ac:dyDescent="0.25">
      <c r="A26" s="13">
        <f t="shared" si="12"/>
        <v>14</v>
      </c>
      <c r="B26" s="16" t="s">
        <v>10</v>
      </c>
      <c r="C26" s="27">
        <f t="shared" ref="C26:H26" si="13">ROUND((SUM(C21:C25))*15%,0)</f>
        <v>74141</v>
      </c>
      <c r="D26" s="27">
        <f t="shared" si="13"/>
        <v>76538</v>
      </c>
      <c r="E26" s="27">
        <f t="shared" si="13"/>
        <v>77626</v>
      </c>
      <c r="F26" s="27">
        <f t="shared" si="13"/>
        <v>76364</v>
      </c>
      <c r="G26" s="27">
        <f t="shared" si="13"/>
        <v>76932</v>
      </c>
      <c r="H26" s="27">
        <f t="shared" si="13"/>
        <v>77788</v>
      </c>
      <c r="I26" s="27">
        <f>ROUND((SUM(I21:I25)-267709)*15%,0)</f>
        <v>76251</v>
      </c>
      <c r="J26" s="27">
        <f t="shared" ref="J26:O26" si="14">ROUND((SUM(J21:J25))*15%,0)</f>
        <v>77240</v>
      </c>
      <c r="K26" s="27">
        <f t="shared" si="14"/>
        <v>75157</v>
      </c>
      <c r="L26" s="27">
        <f t="shared" si="14"/>
        <v>88983</v>
      </c>
      <c r="M26" s="27">
        <f t="shared" si="14"/>
        <v>89057</v>
      </c>
      <c r="N26" s="27">
        <f t="shared" si="14"/>
        <v>85722</v>
      </c>
      <c r="O26" s="27">
        <f t="shared" si="14"/>
        <v>83861</v>
      </c>
      <c r="P26" s="27">
        <f t="shared" ref="P26:Q26" si="15">ROUND((SUM(P21:P25))*15%,0)</f>
        <v>91511</v>
      </c>
      <c r="Q26" s="27">
        <f t="shared" si="15"/>
        <v>95072</v>
      </c>
      <c r="R26" s="27">
        <f t="shared" ref="R26:S26" si="16">ROUND((SUM(R21:R25))*15%,0)</f>
        <v>96039</v>
      </c>
      <c r="S26" s="27">
        <f t="shared" si="16"/>
        <v>97226</v>
      </c>
      <c r="T26" s="27">
        <f>ROUND((SUM(T21:T25)-353366)*15%,0)</f>
        <v>94412</v>
      </c>
      <c r="U26" s="27">
        <f t="shared" ref="U26:AC26" si="17">ROUND((SUM(U21:U25))*15%,0)</f>
        <v>89125</v>
      </c>
      <c r="V26" s="27">
        <f t="shared" si="17"/>
        <v>94352</v>
      </c>
      <c r="W26" s="27">
        <f t="shared" si="17"/>
        <v>92629</v>
      </c>
      <c r="X26" s="27">
        <f t="shared" si="17"/>
        <v>96125</v>
      </c>
      <c r="Y26" s="27">
        <f t="shared" si="17"/>
        <v>91577</v>
      </c>
      <c r="Z26" s="27">
        <f t="shared" si="17"/>
        <v>88815</v>
      </c>
      <c r="AA26" s="27">
        <f t="shared" si="17"/>
        <v>91446</v>
      </c>
      <c r="AB26" s="27">
        <f t="shared" si="17"/>
        <v>94086</v>
      </c>
      <c r="AC26" s="27">
        <f t="shared" si="17"/>
        <v>86841</v>
      </c>
      <c r="AD26" s="27">
        <f t="shared" ref="AD26:AE26" si="18">ROUND((SUM(AD21:AD25))*15%,0)</f>
        <v>86182</v>
      </c>
      <c r="AE26" s="27">
        <f t="shared" si="18"/>
        <v>90813</v>
      </c>
    </row>
    <row r="27" spans="1:31" ht="25.5" customHeight="1" x14ac:dyDescent="0.25">
      <c r="A27" s="13">
        <f t="shared" si="12"/>
        <v>15</v>
      </c>
      <c r="B27" s="16" t="s">
        <v>36</v>
      </c>
      <c r="C27" s="4">
        <f t="shared" ref="C27:D27" si="19">SUM(C14:C26)*18%</f>
        <v>102345.12</v>
      </c>
      <c r="D27" s="4">
        <f t="shared" si="19"/>
        <v>105644.7</v>
      </c>
      <c r="E27" s="4">
        <f t="shared" ref="E27:F27" si="20">SUM(E14:E26)*18%</f>
        <v>107184.78</v>
      </c>
      <c r="F27" s="4">
        <f t="shared" si="20"/>
        <v>105425.64</v>
      </c>
      <c r="G27" s="4">
        <f t="shared" ref="G27:H27" si="21">SUM(G14:G26)*18%</f>
        <v>106166.7</v>
      </c>
      <c r="H27" s="4">
        <f t="shared" si="21"/>
        <v>107347.5</v>
      </c>
      <c r="I27" s="4">
        <f t="shared" ref="I27:J27" si="22">SUM(I14:I26)*18%</f>
        <v>153413.82</v>
      </c>
      <c r="J27" s="4">
        <f t="shared" si="22"/>
        <v>106590.59999999999</v>
      </c>
      <c r="K27" s="4">
        <f t="shared" ref="K27:L27" si="23">SUM(K14:K26)*18%</f>
        <v>103716.9</v>
      </c>
      <c r="L27" s="4">
        <f t="shared" si="23"/>
        <v>122796.18</v>
      </c>
      <c r="M27" s="4">
        <f t="shared" ref="M27:N27" si="24">SUM(M14:M26)*18%</f>
        <v>122898.06</v>
      </c>
      <c r="N27" s="4">
        <f t="shared" si="24"/>
        <v>118296</v>
      </c>
      <c r="O27" s="4">
        <f t="shared" ref="O27:P27" si="25">SUM(O14:O26)*18%</f>
        <v>115728.48</v>
      </c>
      <c r="P27" s="4">
        <f t="shared" si="25"/>
        <v>126284.58</v>
      </c>
      <c r="Q27" s="4">
        <f t="shared" ref="Q27:R27" si="26">SUM(Q14:Q26)*18%</f>
        <v>131199.47999999998</v>
      </c>
      <c r="R27" s="4">
        <f t="shared" si="26"/>
        <v>132533.63999999998</v>
      </c>
      <c r="S27" s="4">
        <f t="shared" ref="S27:U27" si="27">SUM(S14:S26)*18%</f>
        <v>134171.63999999998</v>
      </c>
      <c r="T27" s="4">
        <f t="shared" si="27"/>
        <v>193894.02</v>
      </c>
      <c r="U27" s="4">
        <f t="shared" si="27"/>
        <v>122992.2</v>
      </c>
      <c r="V27" s="4">
        <f t="shared" ref="V27:Y27" si="28">SUM(V14:V26)*18%</f>
        <v>130206.06</v>
      </c>
      <c r="W27" s="4">
        <f t="shared" si="28"/>
        <v>127827.72</v>
      </c>
      <c r="X27" s="4">
        <f t="shared" si="28"/>
        <v>132652.97999999998</v>
      </c>
      <c r="Y27" s="4">
        <f t="shared" si="28"/>
        <v>126376.01999999999</v>
      </c>
      <c r="Z27" s="4">
        <f t="shared" ref="Z27:AC27" si="29">SUM(Z14:Z26)*18%</f>
        <v>122565.23999999999</v>
      </c>
      <c r="AA27" s="4">
        <f t="shared" si="29"/>
        <v>126195.84</v>
      </c>
      <c r="AB27" s="27">
        <f t="shared" si="29"/>
        <v>129839.03999999999</v>
      </c>
      <c r="AC27" s="27">
        <f t="shared" si="29"/>
        <v>119841.12</v>
      </c>
      <c r="AD27" s="27">
        <f t="shared" ref="AD27:AE27" si="30">SUM(AD14:AD26)*18%</f>
        <v>118931.04</v>
      </c>
      <c r="AE27" s="27">
        <f t="shared" si="30"/>
        <v>125321.4</v>
      </c>
    </row>
    <row r="28" spans="1:31" ht="20.25" customHeight="1" x14ac:dyDescent="0.25">
      <c r="A28" s="76" t="s">
        <v>7</v>
      </c>
      <c r="B28" s="76"/>
      <c r="C28" s="37">
        <f t="shared" ref="C28:D28" si="31">SUM(C13:C27)</f>
        <v>670929.12</v>
      </c>
      <c r="D28" s="37">
        <f t="shared" si="31"/>
        <v>692559.7</v>
      </c>
      <c r="E28" s="37">
        <f t="shared" ref="E28:F28" si="32">SUM(E13:E27)</f>
        <v>702655.78</v>
      </c>
      <c r="F28" s="37">
        <f t="shared" si="32"/>
        <v>691123.64</v>
      </c>
      <c r="G28" s="37">
        <f t="shared" ref="G28:H28" si="33">SUM(G13:G27)</f>
        <v>695981.7</v>
      </c>
      <c r="H28" s="37">
        <f t="shared" si="33"/>
        <v>703722.5</v>
      </c>
      <c r="I28" s="37">
        <f t="shared" ref="I28:J28" si="34">SUM(I13:I27)</f>
        <v>1005712.8200000001</v>
      </c>
      <c r="J28" s="37">
        <f t="shared" si="34"/>
        <v>698760.6</v>
      </c>
      <c r="K28" s="37">
        <f t="shared" ref="K28:L28" si="35">SUM(K13:K27)</f>
        <v>679921.9</v>
      </c>
      <c r="L28" s="37">
        <f t="shared" si="35"/>
        <v>804997.17999999993</v>
      </c>
      <c r="M28" s="37">
        <f t="shared" ref="M28:N28" si="36">SUM(M13:M27)</f>
        <v>805665.06</v>
      </c>
      <c r="N28" s="37">
        <f t="shared" si="36"/>
        <v>775496</v>
      </c>
      <c r="O28" s="37">
        <f t="shared" ref="O28:P28" si="37">SUM(O13:O27)</f>
        <v>758664.48</v>
      </c>
      <c r="P28" s="37">
        <f t="shared" si="37"/>
        <v>827865.58</v>
      </c>
      <c r="Q28" s="37">
        <f t="shared" ref="Q28:R28" si="38">SUM(Q13:Q27)</f>
        <v>860085.48</v>
      </c>
      <c r="R28" s="37">
        <f t="shared" si="38"/>
        <v>868831.64</v>
      </c>
      <c r="S28" s="37">
        <f t="shared" ref="S28:U28" si="39">SUM(S13:S27)</f>
        <v>879569.64</v>
      </c>
      <c r="T28" s="37">
        <f t="shared" si="39"/>
        <v>1271083.02</v>
      </c>
      <c r="U28" s="37">
        <f t="shared" si="39"/>
        <v>806282.2</v>
      </c>
      <c r="V28" s="37">
        <f t="shared" ref="V28:Y28" si="40">SUM(V13:V27)</f>
        <v>853573.06</v>
      </c>
      <c r="W28" s="37">
        <f t="shared" si="40"/>
        <v>837981.72</v>
      </c>
      <c r="X28" s="37">
        <f t="shared" si="40"/>
        <v>869613.98</v>
      </c>
      <c r="Y28" s="37">
        <f t="shared" si="40"/>
        <v>828465.02</v>
      </c>
      <c r="Z28" s="37">
        <f t="shared" ref="Z28:AC28" si="41">SUM(Z13:Z27)</f>
        <v>803483.24</v>
      </c>
      <c r="AA28" s="37">
        <f t="shared" si="41"/>
        <v>827283.84</v>
      </c>
      <c r="AB28" s="37">
        <f t="shared" si="41"/>
        <v>851167.04</v>
      </c>
      <c r="AC28" s="37">
        <f t="shared" si="41"/>
        <v>785625.12</v>
      </c>
      <c r="AD28" s="37">
        <f t="shared" ref="AD28:AE28" si="42">SUM(AD13:AD27)</f>
        <v>779659.04</v>
      </c>
      <c r="AE28" s="37">
        <f t="shared" si="42"/>
        <v>821551.4</v>
      </c>
    </row>
    <row r="29" spans="1:31" ht="20.25" customHeight="1" x14ac:dyDescent="0.25">
      <c r="A29" s="57"/>
      <c r="B29" s="50" t="s">
        <v>103</v>
      </c>
      <c r="C29" s="37"/>
      <c r="D29" s="37"/>
      <c r="E29" s="37"/>
      <c r="F29" s="37"/>
    </row>
    <row r="30" spans="1:31" ht="27.75" customHeight="1" x14ac:dyDescent="0.25">
      <c r="B30" s="54" t="s">
        <v>99</v>
      </c>
      <c r="C30" s="55">
        <f t="shared" ref="C30:H30" si="43">C28</f>
        <v>670929.12</v>
      </c>
      <c r="D30" s="55">
        <f t="shared" si="43"/>
        <v>692559.7</v>
      </c>
      <c r="E30" s="55">
        <f t="shared" si="43"/>
        <v>702655.78</v>
      </c>
      <c r="F30" s="55">
        <f t="shared" si="43"/>
        <v>691123.64</v>
      </c>
      <c r="G30" s="55">
        <f t="shared" si="43"/>
        <v>695981.7</v>
      </c>
      <c r="H30" s="55">
        <f t="shared" si="43"/>
        <v>703722.5</v>
      </c>
      <c r="I30" s="55">
        <f t="shared" ref="I30:M30" si="44">I28</f>
        <v>1005712.8200000001</v>
      </c>
      <c r="J30" s="55">
        <f t="shared" si="44"/>
        <v>698760.6</v>
      </c>
      <c r="K30" s="55">
        <f t="shared" si="44"/>
        <v>679921.9</v>
      </c>
      <c r="L30" s="55">
        <f t="shared" si="44"/>
        <v>804997.17999999993</v>
      </c>
      <c r="M30" s="55">
        <f t="shared" si="44"/>
        <v>805665.06</v>
      </c>
      <c r="N30" s="55">
        <f t="shared" ref="N30:Q30" si="45">N28</f>
        <v>775496</v>
      </c>
      <c r="O30" s="55">
        <f t="shared" si="45"/>
        <v>758664.48</v>
      </c>
      <c r="P30" s="55">
        <f t="shared" si="45"/>
        <v>827865.58</v>
      </c>
      <c r="Q30" s="55">
        <f t="shared" si="45"/>
        <v>860085.48</v>
      </c>
      <c r="R30" s="55">
        <f t="shared" ref="R30:S30" si="46">R28</f>
        <v>868831.64</v>
      </c>
      <c r="S30" s="55">
        <f t="shared" si="46"/>
        <v>879569.64</v>
      </c>
      <c r="T30" s="55">
        <f t="shared" ref="T30:Z30" si="47">T28</f>
        <v>1271083.02</v>
      </c>
      <c r="U30" s="55">
        <f t="shared" si="47"/>
        <v>806282.2</v>
      </c>
      <c r="V30" s="55">
        <f t="shared" si="47"/>
        <v>853573.06</v>
      </c>
      <c r="W30" s="55">
        <f t="shared" si="47"/>
        <v>837981.72</v>
      </c>
      <c r="X30" s="55">
        <f t="shared" si="47"/>
        <v>869613.98</v>
      </c>
      <c r="Y30" s="55">
        <f t="shared" si="47"/>
        <v>828465.02</v>
      </c>
      <c r="Z30" s="55">
        <f t="shared" si="47"/>
        <v>803483.24</v>
      </c>
      <c r="AA30" s="55">
        <f t="shared" ref="AA30:AE30" si="48">AA28</f>
        <v>827283.84</v>
      </c>
      <c r="AB30" s="55">
        <f t="shared" si="48"/>
        <v>851167.04</v>
      </c>
      <c r="AC30" s="55">
        <f>AC28</f>
        <v>785625.12</v>
      </c>
      <c r="AD30" s="55">
        <f t="shared" si="48"/>
        <v>779659.04</v>
      </c>
      <c r="AE30" s="55">
        <f t="shared" si="48"/>
        <v>821551.4</v>
      </c>
    </row>
    <row r="31" spans="1:31" ht="27.75" customHeight="1" x14ac:dyDescent="0.3">
      <c r="A31" s="5"/>
      <c r="B31" s="13" t="s">
        <v>100</v>
      </c>
      <c r="C31" s="59">
        <v>45425</v>
      </c>
      <c r="D31" s="59">
        <v>45453</v>
      </c>
      <c r="E31" s="59">
        <v>45482</v>
      </c>
      <c r="F31" s="59">
        <v>45527</v>
      </c>
      <c r="G31" s="59">
        <v>45553</v>
      </c>
      <c r="H31" s="59">
        <v>45582</v>
      </c>
      <c r="I31" s="59">
        <v>45612</v>
      </c>
      <c r="J31" s="59">
        <v>45638</v>
      </c>
      <c r="K31" s="59">
        <v>45670</v>
      </c>
      <c r="L31" s="59">
        <v>45707</v>
      </c>
      <c r="M31" s="59">
        <v>45729</v>
      </c>
      <c r="N31" s="59">
        <v>45752</v>
      </c>
      <c r="O31" s="59">
        <v>45785</v>
      </c>
      <c r="P31" s="59">
        <v>45825</v>
      </c>
      <c r="Q31" s="59">
        <v>45855</v>
      </c>
      <c r="R31" s="59">
        <v>45890</v>
      </c>
      <c r="S31" s="59">
        <v>45917</v>
      </c>
      <c r="T31" s="59">
        <v>45948</v>
      </c>
      <c r="U31" s="59">
        <v>45979</v>
      </c>
      <c r="V31" s="59">
        <v>46014</v>
      </c>
      <c r="W31" s="59">
        <v>46039</v>
      </c>
      <c r="X31" s="59">
        <v>46074</v>
      </c>
      <c r="Y31" s="59">
        <v>46098</v>
      </c>
      <c r="Z31" s="59">
        <v>46125</v>
      </c>
      <c r="AA31" s="59">
        <v>46162</v>
      </c>
      <c r="AB31" s="59">
        <v>46226</v>
      </c>
      <c r="AC31" s="59">
        <v>46248</v>
      </c>
    </row>
    <row r="32" spans="1:31" ht="27.75" customHeight="1" x14ac:dyDescent="0.3">
      <c r="A32" s="5"/>
      <c r="B32" s="13" t="s">
        <v>101</v>
      </c>
      <c r="C32" s="27">
        <v>659556</v>
      </c>
      <c r="D32" s="27">
        <v>680820</v>
      </c>
      <c r="E32" s="27">
        <v>690747</v>
      </c>
      <c r="F32" s="27">
        <v>679415</v>
      </c>
      <c r="G32" s="27">
        <v>684187</v>
      </c>
      <c r="H32" s="27">
        <v>691794</v>
      </c>
      <c r="I32" s="27">
        <v>988667</v>
      </c>
      <c r="J32" s="27">
        <v>686917</v>
      </c>
      <c r="K32" s="27">
        <v>668397</v>
      </c>
      <c r="L32" s="27">
        <v>791353</v>
      </c>
      <c r="M32" s="27">
        <v>792010</v>
      </c>
      <c r="N32" s="27">
        <v>762352</v>
      </c>
      <c r="O32" s="27">
        <v>745805</v>
      </c>
      <c r="P32" s="27">
        <v>813834</v>
      </c>
      <c r="Q32" s="27">
        <v>845507</v>
      </c>
      <c r="R32" s="27">
        <v>854106</v>
      </c>
      <c r="S32" s="27">
        <v>864662</v>
      </c>
      <c r="T32" s="27">
        <f>T30-T33</f>
        <v>1249539.02</v>
      </c>
      <c r="U32" s="71">
        <v>792616</v>
      </c>
      <c r="V32" s="71">
        <v>839106</v>
      </c>
      <c r="W32" s="71">
        <v>823779</v>
      </c>
      <c r="X32" s="71">
        <v>854874</v>
      </c>
      <c r="Y32" s="71">
        <v>814423</v>
      </c>
      <c r="Z32" s="71">
        <v>789865</v>
      </c>
      <c r="AA32" s="71">
        <v>813261</v>
      </c>
      <c r="AB32" s="71">
        <v>836740</v>
      </c>
      <c r="AC32" s="71">
        <v>772309</v>
      </c>
    </row>
    <row r="33" spans="1:29" ht="27.75" customHeight="1" x14ac:dyDescent="0.35">
      <c r="A33" s="5"/>
      <c r="B33" s="13" t="s">
        <v>35</v>
      </c>
      <c r="C33" s="27">
        <v>11373</v>
      </c>
      <c r="D33" s="27">
        <v>11738</v>
      </c>
      <c r="E33" s="27">
        <v>11909</v>
      </c>
      <c r="F33" s="27">
        <v>11709</v>
      </c>
      <c r="G33" s="27">
        <v>11795</v>
      </c>
      <c r="H33" s="27">
        <v>11928</v>
      </c>
      <c r="I33" s="27">
        <v>17046</v>
      </c>
      <c r="J33" s="27">
        <v>11844</v>
      </c>
      <c r="K33" s="27">
        <f>K28-K32</f>
        <v>11524.900000000023</v>
      </c>
      <c r="L33" s="27">
        <v>13644</v>
      </c>
      <c r="M33" s="27">
        <v>13655</v>
      </c>
      <c r="N33" s="27">
        <v>13144</v>
      </c>
      <c r="O33" s="27">
        <v>12859</v>
      </c>
      <c r="P33" s="27">
        <v>14032</v>
      </c>
      <c r="Q33" s="27">
        <v>14578</v>
      </c>
      <c r="R33" s="27">
        <v>14726</v>
      </c>
      <c r="S33" s="27">
        <f t="shared" ref="S33:Y33" si="49">ROUND(SUM(S28-S27)*2%,0)</f>
        <v>14908</v>
      </c>
      <c r="T33" s="27">
        <f t="shared" si="49"/>
        <v>21544</v>
      </c>
      <c r="U33" s="27">
        <f t="shared" si="49"/>
        <v>13666</v>
      </c>
      <c r="V33" s="27">
        <f t="shared" si="49"/>
        <v>14467</v>
      </c>
      <c r="W33" s="74">
        <v>813261</v>
      </c>
      <c r="X33" s="27">
        <f t="shared" si="49"/>
        <v>14739</v>
      </c>
      <c r="Y33" s="27">
        <f t="shared" si="49"/>
        <v>14042</v>
      </c>
      <c r="Z33" s="27">
        <f t="shared" ref="Z33:AC33" si="50">ROUND(SUM(Z28-Z27)*2%,0)</f>
        <v>13618</v>
      </c>
      <c r="AA33" s="27">
        <f t="shared" si="50"/>
        <v>14022</v>
      </c>
      <c r="AB33" s="27">
        <f t="shared" si="50"/>
        <v>14427</v>
      </c>
      <c r="AC33" s="27">
        <f t="shared" si="50"/>
        <v>13316</v>
      </c>
    </row>
    <row r="34" spans="1:29" ht="27.75" customHeight="1" x14ac:dyDescent="0.25">
      <c r="B34" s="11" t="s">
        <v>102</v>
      </c>
      <c r="C34" s="56">
        <f t="shared" ref="C34:I34" si="51">C30-C32-C33</f>
        <v>0.11999999999534339</v>
      </c>
      <c r="D34" s="56">
        <f t="shared" si="51"/>
        <v>1.6999999999534339</v>
      </c>
      <c r="E34" s="56">
        <f t="shared" si="51"/>
        <v>-0.21999999997206032</v>
      </c>
      <c r="F34" s="56">
        <f t="shared" si="51"/>
        <v>-0.35999999998603016</v>
      </c>
      <c r="G34" s="56">
        <f t="shared" si="51"/>
        <v>-0.30000000004656613</v>
      </c>
      <c r="H34" s="56">
        <f t="shared" si="51"/>
        <v>0.5</v>
      </c>
      <c r="I34" s="56">
        <f t="shared" si="51"/>
        <v>-0.17999999993480742</v>
      </c>
      <c r="J34" s="56">
        <f t="shared" ref="J34:M34" si="52">J30-J32-J33</f>
        <v>-0.40000000002328306</v>
      </c>
      <c r="K34" s="56">
        <f t="shared" si="52"/>
        <v>0</v>
      </c>
      <c r="L34" s="56">
        <f t="shared" si="52"/>
        <v>0.17999999993480742</v>
      </c>
      <c r="M34" s="56">
        <f t="shared" si="52"/>
        <v>6.0000000055879354E-2</v>
      </c>
      <c r="N34" s="56">
        <f t="shared" ref="N34:Q34" si="53">N30-N32-N33</f>
        <v>0</v>
      </c>
      <c r="O34" s="56">
        <f t="shared" si="53"/>
        <v>0.47999999998137355</v>
      </c>
      <c r="P34" s="56">
        <f t="shared" si="53"/>
        <v>-0.42000000004190952</v>
      </c>
      <c r="Q34" s="56">
        <f t="shared" si="53"/>
        <v>0.47999999998137355</v>
      </c>
      <c r="R34" s="56">
        <f t="shared" ref="R34:V34" si="54">R30-R32-R33</f>
        <v>-0.35999999998603016</v>
      </c>
      <c r="S34" s="56">
        <f t="shared" si="54"/>
        <v>-0.35999999998603016</v>
      </c>
      <c r="T34" s="56">
        <f t="shared" si="54"/>
        <v>0</v>
      </c>
      <c r="U34" s="56">
        <f t="shared" si="54"/>
        <v>0.19999999995343387</v>
      </c>
      <c r="V34" s="56">
        <f t="shared" si="54"/>
        <v>6.0000000055879354E-2</v>
      </c>
      <c r="W34" s="56">
        <f t="shared" ref="W34:Y34" si="55">W30-W32-W33</f>
        <v>-799058.28</v>
      </c>
      <c r="X34" s="56">
        <f t="shared" si="55"/>
        <v>0.97999999998137355</v>
      </c>
      <c r="Y34" s="56">
        <f t="shared" si="55"/>
        <v>2.0000000018626451E-2</v>
      </c>
      <c r="Z34" s="56">
        <f t="shared" ref="Z34:AC34" si="56">Z30-Z32-Z33</f>
        <v>0.23999999999068677</v>
      </c>
      <c r="AA34" s="56">
        <f t="shared" si="56"/>
        <v>0.83999999996740371</v>
      </c>
      <c r="AB34" s="56">
        <f t="shared" si="56"/>
        <v>4.0000000037252903E-2</v>
      </c>
      <c r="AC34" s="56">
        <f t="shared" si="56"/>
        <v>0.11999999999534339</v>
      </c>
    </row>
    <row r="35" spans="1:29" ht="50" x14ac:dyDescent="0.25">
      <c r="B35" s="60" t="s">
        <v>110</v>
      </c>
      <c r="C35" s="61" t="s">
        <v>111</v>
      </c>
      <c r="D35" s="61" t="s">
        <v>119</v>
      </c>
      <c r="E35" s="61" t="s">
        <v>136</v>
      </c>
      <c r="F35" s="61" t="s">
        <v>142</v>
      </c>
      <c r="G35" s="61" t="s">
        <v>146</v>
      </c>
      <c r="H35" s="61" t="s">
        <v>146</v>
      </c>
      <c r="I35" s="61" t="s">
        <v>146</v>
      </c>
      <c r="J35" s="61" t="s">
        <v>146</v>
      </c>
      <c r="K35" s="61" t="s">
        <v>146</v>
      </c>
      <c r="L35" s="61" t="s">
        <v>146</v>
      </c>
      <c r="M35" s="61" t="s">
        <v>146</v>
      </c>
      <c r="N35" s="61" t="s">
        <v>146</v>
      </c>
      <c r="O35" s="61" t="s">
        <v>146</v>
      </c>
      <c r="P35" s="61" t="s">
        <v>146</v>
      </c>
      <c r="Q35" s="61" t="s">
        <v>146</v>
      </c>
      <c r="R35" s="61" t="s">
        <v>146</v>
      </c>
      <c r="S35" s="61" t="s">
        <v>146</v>
      </c>
      <c r="T35" s="61" t="s">
        <v>146</v>
      </c>
      <c r="U35" s="61" t="s">
        <v>146</v>
      </c>
      <c r="V35" s="61" t="s">
        <v>146</v>
      </c>
      <c r="W35" s="61" t="s">
        <v>146</v>
      </c>
      <c r="X35" s="61" t="s">
        <v>146</v>
      </c>
    </row>
    <row r="36" spans="1:29" x14ac:dyDescent="0.25">
      <c r="Q36" s="21"/>
      <c r="R36" s="21"/>
    </row>
  </sheetData>
  <mergeCells count="3">
    <mergeCell ref="A11:B11"/>
    <mergeCell ref="A28:B28"/>
    <mergeCell ref="A1:S1"/>
  </mergeCells>
  <conditionalFormatting sqref="R9:U9 C9:Q10 P10:U10">
    <cfRule type="cellIs" dxfId="1" priority="5" operator="lessThan">
      <formula>0</formula>
    </cfRule>
  </conditionalFormatting>
  <conditionalFormatting sqref="V9:AE10">
    <cfRule type="cellIs" dxfId="0" priority="1" operator="lessThan">
      <formula>0</formula>
    </cfRule>
  </conditionalFormatting>
  <pageMargins left="1.1000000000000001" right="0.2" top="1.3" bottom="1" header="0.5" footer="0.5"/>
  <pageSetup paperSize="9" scale="73" orientation="landscape" copies="2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3D621-589C-473B-9A6A-0E0F5C45F0CC}">
  <sheetPr>
    <tabColor rgb="FF00B0F0"/>
  </sheetPr>
  <dimension ref="A1:W185"/>
  <sheetViews>
    <sheetView topLeftCell="C163" workbookViewId="0">
      <selection activeCell="E186" sqref="E186"/>
    </sheetView>
  </sheetViews>
  <sheetFormatPr defaultRowHeight="12.5" x14ac:dyDescent="0.25"/>
  <cols>
    <col min="3" max="3" width="34.7265625" bestFit="1" customWidth="1"/>
    <col min="4" max="4" width="11.1796875" bestFit="1" customWidth="1"/>
    <col min="5" max="5" width="13.54296875" bestFit="1" customWidth="1"/>
    <col min="6" max="6" width="10.08984375" bestFit="1" customWidth="1"/>
    <col min="8" max="8" width="12.7265625" bestFit="1" customWidth="1"/>
    <col min="9" max="9" width="23.7265625" bestFit="1" customWidth="1"/>
    <col min="10" max="10" width="10.1796875" bestFit="1" customWidth="1"/>
    <col min="12" max="12" width="12.26953125" bestFit="1" customWidth="1"/>
  </cols>
  <sheetData>
    <row r="1" spans="1:21" x14ac:dyDescent="0.25">
      <c r="H1" s="24" t="s">
        <v>53</v>
      </c>
    </row>
    <row r="2" spans="1:21" x14ac:dyDescent="0.25">
      <c r="A2" s="26" t="s">
        <v>46</v>
      </c>
      <c r="B2" s="26" t="s">
        <v>45</v>
      </c>
      <c r="C2" s="26" t="s">
        <v>47</v>
      </c>
      <c r="D2" s="26" t="s">
        <v>48</v>
      </c>
      <c r="E2" s="26" t="s">
        <v>49</v>
      </c>
      <c r="F2" s="26" t="s">
        <v>37</v>
      </c>
      <c r="H2" s="26" t="s">
        <v>54</v>
      </c>
      <c r="I2" s="26" t="s">
        <v>55</v>
      </c>
      <c r="J2" s="26" t="s">
        <v>56</v>
      </c>
    </row>
    <row r="3" spans="1:21" x14ac:dyDescent="0.25">
      <c r="A3" s="22">
        <v>1</v>
      </c>
      <c r="B3" s="32">
        <v>45170</v>
      </c>
      <c r="C3" s="33" t="s">
        <v>50</v>
      </c>
      <c r="D3" s="29">
        <f>'SPC Adhoc Jul 22 to Sept 23'!R4</f>
        <v>108092892.2647737</v>
      </c>
      <c r="E3" s="29"/>
      <c r="F3" s="22">
        <f>D3*8%/12</f>
        <v>720619.28176515794</v>
      </c>
      <c r="H3" s="36"/>
      <c r="I3" s="22"/>
      <c r="J3" s="22"/>
      <c r="O3" s="34"/>
      <c r="R3" s="34"/>
      <c r="U3" s="35"/>
    </row>
    <row r="4" spans="1:21" x14ac:dyDescent="0.25">
      <c r="A4" s="22">
        <f>A3+1</f>
        <v>2</v>
      </c>
      <c r="B4" s="32">
        <v>45170</v>
      </c>
      <c r="C4" s="26" t="s">
        <v>58</v>
      </c>
      <c r="D4" s="29"/>
      <c r="E4" s="22">
        <f>-J4</f>
        <v>-500000</v>
      </c>
      <c r="F4" s="22">
        <f>E4*8%/12*17/30</f>
        <v>-1888.8888888888891</v>
      </c>
      <c r="H4" s="36">
        <v>45183</v>
      </c>
      <c r="I4" s="22" t="s">
        <v>57</v>
      </c>
      <c r="J4" s="22">
        <v>500000</v>
      </c>
    </row>
    <row r="5" spans="1:21" ht="13" x14ac:dyDescent="0.3">
      <c r="A5" s="22"/>
      <c r="B5" s="22"/>
      <c r="C5" s="23" t="s">
        <v>52</v>
      </c>
      <c r="D5" s="22"/>
      <c r="E5" s="30">
        <f>SUM(E3:E4)</f>
        <v>-500000</v>
      </c>
      <c r="F5" s="23" cm="1">
        <f t="array" ref="F5">SUM(ROUND(F3:F4,0))</f>
        <v>718730</v>
      </c>
      <c r="H5" s="22"/>
      <c r="I5" s="22"/>
      <c r="J5" s="22"/>
    </row>
    <row r="7" spans="1:21" x14ac:dyDescent="0.25">
      <c r="H7" s="24" t="s">
        <v>53</v>
      </c>
    </row>
    <row r="8" spans="1:21" x14ac:dyDescent="0.25">
      <c r="A8" s="26" t="s">
        <v>46</v>
      </c>
      <c r="B8" s="26" t="s">
        <v>45</v>
      </c>
      <c r="C8" s="26" t="s">
        <v>47</v>
      </c>
      <c r="D8" s="26" t="s">
        <v>48</v>
      </c>
      <c r="E8" s="26" t="s">
        <v>49</v>
      </c>
      <c r="F8" s="26" t="s">
        <v>37</v>
      </c>
      <c r="H8" s="26" t="s">
        <v>54</v>
      </c>
      <c r="I8" s="26" t="s">
        <v>55</v>
      </c>
      <c r="J8" s="26" t="s">
        <v>56</v>
      </c>
    </row>
    <row r="9" spans="1:21" x14ac:dyDescent="0.25">
      <c r="A9" s="22">
        <v>1</v>
      </c>
      <c r="B9" s="32">
        <v>45231</v>
      </c>
      <c r="C9" s="33" t="s">
        <v>50</v>
      </c>
      <c r="D9" s="29">
        <f>'SPC Astn Oct 23 to Mar24'!D4</f>
        <v>103099748.692</v>
      </c>
      <c r="E9" s="29"/>
      <c r="F9" s="22">
        <f>D9*8%/12</f>
        <v>687331.6579466667</v>
      </c>
      <c r="H9" s="36"/>
      <c r="I9" s="22"/>
      <c r="J9" s="22"/>
      <c r="O9" s="34"/>
      <c r="R9" s="34"/>
      <c r="U9" s="35"/>
    </row>
    <row r="10" spans="1:21" x14ac:dyDescent="0.25">
      <c r="A10" s="22">
        <f>A9+1</f>
        <v>2</v>
      </c>
      <c r="B10" s="32">
        <v>45231</v>
      </c>
      <c r="C10" s="26" t="s">
        <v>60</v>
      </c>
      <c r="D10" s="29"/>
      <c r="E10" s="22">
        <f>-J10</f>
        <v>-10000000</v>
      </c>
      <c r="F10" s="22">
        <f>E10*8%/12*3/30</f>
        <v>-6666.666666666667</v>
      </c>
      <c r="H10" s="36">
        <v>45258</v>
      </c>
      <c r="I10" s="22" t="s">
        <v>59</v>
      </c>
      <c r="J10" s="22">
        <v>10000000</v>
      </c>
    </row>
    <row r="11" spans="1:21" ht="13" x14ac:dyDescent="0.3">
      <c r="A11" s="22"/>
      <c r="B11" s="22"/>
      <c r="C11" s="23" t="s">
        <v>51</v>
      </c>
      <c r="D11" s="22"/>
      <c r="E11" s="30">
        <f>SUM(E9:E10)</f>
        <v>-10000000</v>
      </c>
      <c r="F11" s="23" cm="1">
        <f t="array" ref="F11">SUM(ROUND(F9:F10,0))</f>
        <v>680665</v>
      </c>
      <c r="H11" s="22"/>
      <c r="I11" s="22"/>
      <c r="J11" s="22"/>
    </row>
    <row r="13" spans="1:21" x14ac:dyDescent="0.25">
      <c r="H13" s="24" t="s">
        <v>53</v>
      </c>
    </row>
    <row r="14" spans="1:21" x14ac:dyDescent="0.25">
      <c r="A14" s="26" t="s">
        <v>46</v>
      </c>
      <c r="B14" s="26" t="s">
        <v>45</v>
      </c>
      <c r="C14" s="26" t="s">
        <v>47</v>
      </c>
      <c r="D14" s="26" t="s">
        <v>48</v>
      </c>
      <c r="E14" s="26" t="s">
        <v>49</v>
      </c>
      <c r="F14" s="26" t="s">
        <v>37</v>
      </c>
      <c r="H14" s="26" t="s">
        <v>54</v>
      </c>
      <c r="I14" s="26" t="s">
        <v>55</v>
      </c>
      <c r="J14" s="26" t="s">
        <v>56</v>
      </c>
    </row>
    <row r="15" spans="1:21" x14ac:dyDescent="0.25">
      <c r="A15" s="22">
        <v>1</v>
      </c>
      <c r="B15" s="32">
        <v>45261</v>
      </c>
      <c r="C15" s="33" t="s">
        <v>50</v>
      </c>
      <c r="D15" s="29">
        <f>'SPC Astn Oct 23 to Mar24'!E4</f>
        <v>92855316.732000008</v>
      </c>
      <c r="E15" s="29"/>
      <c r="F15" s="22">
        <f>D15*8%/12</f>
        <v>619035.44488000008</v>
      </c>
      <c r="H15" s="36"/>
      <c r="I15" s="22"/>
      <c r="J15" s="22"/>
      <c r="O15" s="34"/>
      <c r="R15" s="34"/>
      <c r="U15" s="35"/>
    </row>
    <row r="16" spans="1:21" x14ac:dyDescent="0.25">
      <c r="A16" s="22">
        <f>A15+1</f>
        <v>2</v>
      </c>
      <c r="B16" s="32">
        <v>45261</v>
      </c>
      <c r="C16" s="26" t="s">
        <v>63</v>
      </c>
      <c r="D16" s="29"/>
      <c r="E16" s="22">
        <f>-J16</f>
        <v>-10000000</v>
      </c>
      <c r="F16" s="22">
        <f>E16*8%/12*13/31</f>
        <v>-27956.989247311831</v>
      </c>
      <c r="H16" s="36">
        <v>45279</v>
      </c>
      <c r="I16" s="22" t="s">
        <v>61</v>
      </c>
      <c r="J16" s="22">
        <v>10000000</v>
      </c>
    </row>
    <row r="17" spans="1:21" ht="13" x14ac:dyDescent="0.3">
      <c r="A17" s="22"/>
      <c r="B17" s="22"/>
      <c r="C17" s="23" t="s">
        <v>62</v>
      </c>
      <c r="D17" s="22"/>
      <c r="E17" s="30"/>
      <c r="F17" s="23" cm="1">
        <f t="array" ref="F17">SUM(ROUND(F15:F16,0))</f>
        <v>591078</v>
      </c>
      <c r="H17" s="22"/>
      <c r="I17" s="22"/>
      <c r="J17" s="22"/>
    </row>
    <row r="19" spans="1:21" x14ac:dyDescent="0.25">
      <c r="A19" s="26" t="s">
        <v>46</v>
      </c>
      <c r="B19" s="26" t="s">
        <v>45</v>
      </c>
      <c r="C19" s="26" t="s">
        <v>47</v>
      </c>
      <c r="D19" s="26" t="s">
        <v>48</v>
      </c>
      <c r="E19" s="26" t="s">
        <v>49</v>
      </c>
      <c r="F19" s="26" t="s">
        <v>37</v>
      </c>
      <c r="H19" s="26" t="s">
        <v>54</v>
      </c>
      <c r="I19" s="26" t="s">
        <v>55</v>
      </c>
      <c r="J19" s="26" t="s">
        <v>56</v>
      </c>
    </row>
    <row r="20" spans="1:21" x14ac:dyDescent="0.25">
      <c r="A20" s="22">
        <v>1</v>
      </c>
      <c r="B20" s="32">
        <v>45292</v>
      </c>
      <c r="C20" s="33" t="s">
        <v>50</v>
      </c>
      <c r="D20" s="29">
        <f>'SPC Astn Oct 23 to Mar24'!F4</f>
        <v>82747080.292000011</v>
      </c>
      <c r="E20" s="29"/>
      <c r="F20" s="22">
        <f>D20*8%/12</f>
        <v>551647.20194666681</v>
      </c>
      <c r="H20" s="36"/>
      <c r="I20" s="22"/>
      <c r="J20" s="22"/>
    </row>
    <row r="21" spans="1:21" x14ac:dyDescent="0.25">
      <c r="A21" s="22">
        <f>A20+1</f>
        <v>2</v>
      </c>
      <c r="B21" s="32">
        <v>45292</v>
      </c>
      <c r="C21" s="26" t="s">
        <v>72</v>
      </c>
      <c r="D21" s="29"/>
      <c r="E21" s="22">
        <f>-J21</f>
        <v>-1767896</v>
      </c>
      <c r="F21" s="22">
        <f>E21*8%/12*15/31</f>
        <v>-5702.8903225806453</v>
      </c>
      <c r="H21" s="36">
        <v>45308</v>
      </c>
      <c r="I21" t="s">
        <v>69</v>
      </c>
      <c r="J21" s="22">
        <v>1767896</v>
      </c>
      <c r="K21" s="24" t="s">
        <v>71</v>
      </c>
      <c r="L21" s="34"/>
      <c r="S21" s="41"/>
    </row>
    <row r="22" spans="1:21" x14ac:dyDescent="0.25">
      <c r="A22" s="22">
        <f>A21+1</f>
        <v>3</v>
      </c>
      <c r="B22" s="32">
        <v>45292</v>
      </c>
      <c r="C22" s="26" t="s">
        <v>73</v>
      </c>
      <c r="D22" s="29"/>
      <c r="E22" s="22">
        <f>-J22</f>
        <v>-10000000</v>
      </c>
      <c r="F22" s="22">
        <f>E22*8%/12*14/31</f>
        <v>-30107.526881720431</v>
      </c>
      <c r="H22" s="36">
        <v>45309</v>
      </c>
      <c r="I22" t="s">
        <v>70</v>
      </c>
      <c r="J22" s="22">
        <v>10000000</v>
      </c>
      <c r="K22" s="24" t="s">
        <v>2</v>
      </c>
      <c r="L22" s="34"/>
      <c r="S22" s="41"/>
    </row>
    <row r="23" spans="1:21" ht="13" x14ac:dyDescent="0.3">
      <c r="A23" s="22"/>
      <c r="B23" s="22"/>
      <c r="C23" s="23" t="s">
        <v>68</v>
      </c>
      <c r="D23" s="22"/>
      <c r="E23" s="30">
        <f>SUM(E21:E22)</f>
        <v>-11767896</v>
      </c>
      <c r="F23" s="23" cm="1">
        <f t="array" ref="F23">SUM(ROUND(F20:F22,0))</f>
        <v>515836</v>
      </c>
      <c r="H23" s="22"/>
      <c r="I23" s="22"/>
      <c r="J23" s="22"/>
    </row>
    <row r="25" spans="1:21" x14ac:dyDescent="0.25">
      <c r="A25" s="26" t="s">
        <v>46</v>
      </c>
      <c r="B25" s="26" t="s">
        <v>45</v>
      </c>
      <c r="C25" s="26" t="s">
        <v>47</v>
      </c>
      <c r="D25" s="26" t="s">
        <v>48</v>
      </c>
      <c r="E25" s="26" t="s">
        <v>49</v>
      </c>
      <c r="F25" s="26" t="s">
        <v>37</v>
      </c>
      <c r="H25" s="26" t="s">
        <v>54</v>
      </c>
      <c r="I25" s="26" t="s">
        <v>55</v>
      </c>
      <c r="J25" s="26" t="s">
        <v>56</v>
      </c>
      <c r="L25" s="34"/>
      <c r="S25" s="41"/>
    </row>
    <row r="26" spans="1:21" x14ac:dyDescent="0.25">
      <c r="A26" s="22">
        <v>1</v>
      </c>
      <c r="B26" s="32">
        <v>45323</v>
      </c>
      <c r="C26" s="33" t="s">
        <v>50</v>
      </c>
      <c r="D26" s="29">
        <f>'SPC Astn Oct 23 to Mar24'!G4</f>
        <v>70781615.992000014</v>
      </c>
      <c r="E26" s="29"/>
      <c r="F26" s="22">
        <f>D26*8%/12</f>
        <v>471877.43994666677</v>
      </c>
      <c r="H26" s="36"/>
      <c r="I26" s="22"/>
      <c r="J26" s="22"/>
    </row>
    <row r="27" spans="1:21" x14ac:dyDescent="0.25">
      <c r="A27" s="22">
        <f>A26+1</f>
        <v>2</v>
      </c>
      <c r="B27" s="32">
        <v>45323</v>
      </c>
      <c r="C27" s="26" t="s">
        <v>78</v>
      </c>
      <c r="D27" s="29"/>
      <c r="E27" s="22">
        <f>-J27</f>
        <v>-464252</v>
      </c>
      <c r="F27" s="22">
        <f>E27*8%/12*16/29</f>
        <v>-1707.593563218391</v>
      </c>
      <c r="H27" s="36">
        <v>45336</v>
      </c>
      <c r="I27" t="s">
        <v>76</v>
      </c>
      <c r="J27" s="22">
        <v>464252</v>
      </c>
      <c r="K27" s="24" t="s">
        <v>71</v>
      </c>
    </row>
    <row r="28" spans="1:21" x14ac:dyDescent="0.25">
      <c r="A28" s="22">
        <f>A27+1</f>
        <v>3</v>
      </c>
      <c r="B28" s="32">
        <v>45323</v>
      </c>
      <c r="C28" s="26" t="s">
        <v>78</v>
      </c>
      <c r="D28" s="29"/>
      <c r="E28" s="22">
        <f>-J28</f>
        <v>-10000000</v>
      </c>
      <c r="F28" s="22">
        <f>E28*8%/12*16/29</f>
        <v>-36781.6091954023</v>
      </c>
      <c r="H28" s="36">
        <v>45336</v>
      </c>
      <c r="I28" t="s">
        <v>77</v>
      </c>
      <c r="J28" s="22">
        <v>10000000</v>
      </c>
      <c r="K28" s="24" t="s">
        <v>2</v>
      </c>
      <c r="N28" s="34"/>
      <c r="U28" s="41"/>
    </row>
    <row r="29" spans="1:21" ht="13" x14ac:dyDescent="0.3">
      <c r="A29" s="22"/>
      <c r="B29" s="22"/>
      <c r="C29" s="23" t="s">
        <v>80</v>
      </c>
      <c r="D29" s="22"/>
      <c r="E29" s="30">
        <f>SUM(E27:E28)</f>
        <v>-10464252</v>
      </c>
      <c r="F29" s="23" cm="1">
        <f t="array" ref="F29">SUM(ROUND(F26:F28,0))</f>
        <v>433387</v>
      </c>
      <c r="H29" s="22"/>
      <c r="I29" s="22"/>
      <c r="J29" s="22"/>
      <c r="K29">
        <f>F29*10%</f>
        <v>43338.700000000004</v>
      </c>
      <c r="L29">
        <f>F29-K29</f>
        <v>390048.3</v>
      </c>
    </row>
    <row r="31" spans="1:21" x14ac:dyDescent="0.25">
      <c r="A31" s="26" t="s">
        <v>46</v>
      </c>
      <c r="B31" s="26" t="s">
        <v>45</v>
      </c>
      <c r="C31" s="26" t="s">
        <v>47</v>
      </c>
      <c r="D31" s="26" t="s">
        <v>48</v>
      </c>
      <c r="E31" s="26" t="s">
        <v>49</v>
      </c>
      <c r="F31" s="26" t="s">
        <v>37</v>
      </c>
      <c r="H31" s="26" t="s">
        <v>54</v>
      </c>
      <c r="I31" s="26" t="s">
        <v>55</v>
      </c>
      <c r="J31" s="26" t="s">
        <v>56</v>
      </c>
      <c r="N31" s="34"/>
      <c r="U31" s="41"/>
    </row>
    <row r="32" spans="1:21" x14ac:dyDescent="0.25">
      <c r="A32" s="22">
        <v>1</v>
      </c>
      <c r="B32" s="32">
        <v>45352</v>
      </c>
      <c r="C32" s="33" t="s">
        <v>50</v>
      </c>
      <c r="D32" s="29">
        <f>'SPC Astn Oct 23 to Mar24'!H4</f>
        <v>60031101.192000017</v>
      </c>
      <c r="E32" s="29"/>
      <c r="F32" s="22">
        <f>D32*8%/12</f>
        <v>400207.34128000011</v>
      </c>
      <c r="H32" s="36"/>
      <c r="I32" s="22"/>
      <c r="J32" s="22"/>
    </row>
    <row r="33" spans="1:23" x14ac:dyDescent="0.25">
      <c r="A33" s="22">
        <f>A32+1</f>
        <v>2</v>
      </c>
      <c r="B33" s="32">
        <v>45352</v>
      </c>
      <c r="C33" s="26" t="s">
        <v>87</v>
      </c>
      <c r="D33" s="29"/>
      <c r="E33" s="22">
        <f>-J33</f>
        <v>-390049</v>
      </c>
      <c r="F33" s="22">
        <f>E33*8%/12*18/31</f>
        <v>-1509.8670967741937</v>
      </c>
      <c r="H33" s="36">
        <v>45365</v>
      </c>
      <c r="I33" t="s">
        <v>85</v>
      </c>
      <c r="J33">
        <v>390049</v>
      </c>
      <c r="K33" s="24" t="s">
        <v>86</v>
      </c>
    </row>
    <row r="34" spans="1:23" x14ac:dyDescent="0.25">
      <c r="A34" s="22">
        <f>A33+1</f>
        <v>3</v>
      </c>
      <c r="B34" s="42">
        <v>45352</v>
      </c>
      <c r="C34" s="43" t="s">
        <v>88</v>
      </c>
      <c r="D34" s="44"/>
      <c r="E34" s="45">
        <f>-J34</f>
        <v>-10000000</v>
      </c>
      <c r="F34" s="45">
        <f>E34*8%/12*2/31</f>
        <v>-4301.0752688172042</v>
      </c>
      <c r="H34" s="36">
        <v>45381</v>
      </c>
      <c r="I34" t="s">
        <v>89</v>
      </c>
      <c r="J34" s="22">
        <v>10000000</v>
      </c>
      <c r="K34" s="24" t="s">
        <v>90</v>
      </c>
    </row>
    <row r="35" spans="1:23" ht="13" x14ac:dyDescent="0.3">
      <c r="A35" s="22"/>
      <c r="B35" s="22"/>
      <c r="C35" s="23" t="s">
        <v>84</v>
      </c>
      <c r="D35" s="22"/>
      <c r="E35" s="30">
        <f>SUM(E33:E34)</f>
        <v>-10390049</v>
      </c>
      <c r="F35" s="23" cm="1">
        <f t="array" ref="F35">SUM(ROUND(F32:F34,0))</f>
        <v>394396</v>
      </c>
      <c r="H35" s="22"/>
      <c r="I35" s="22"/>
      <c r="J35" s="22"/>
    </row>
    <row r="37" spans="1:23" x14ac:dyDescent="0.25">
      <c r="A37" s="26" t="s">
        <v>46</v>
      </c>
      <c r="B37" s="26" t="s">
        <v>45</v>
      </c>
      <c r="C37" s="26" t="s">
        <v>47</v>
      </c>
      <c r="D37" s="26" t="s">
        <v>48</v>
      </c>
      <c r="E37" s="26" t="s">
        <v>49</v>
      </c>
      <c r="F37" s="26" t="s">
        <v>37</v>
      </c>
      <c r="H37" s="26" t="s">
        <v>54</v>
      </c>
      <c r="I37" s="26" t="s">
        <v>55</v>
      </c>
      <c r="J37" s="26" t="s">
        <v>56</v>
      </c>
    </row>
    <row r="38" spans="1:23" x14ac:dyDescent="0.25">
      <c r="A38" s="22">
        <v>1</v>
      </c>
      <c r="B38" s="32">
        <v>45383</v>
      </c>
      <c r="C38" s="33" t="s">
        <v>50</v>
      </c>
      <c r="D38" s="29">
        <f>'SPC Astn Apr 24 to Apr 26'!C4</f>
        <v>49388239.972000018</v>
      </c>
      <c r="E38" s="29"/>
      <c r="F38" s="22">
        <f>D38*8%/12</f>
        <v>329254.93314666679</v>
      </c>
      <c r="H38" s="36"/>
      <c r="I38" s="22"/>
      <c r="J38" s="22"/>
    </row>
    <row r="39" spans="1:23" x14ac:dyDescent="0.25">
      <c r="A39" s="22">
        <f>A38+1</f>
        <v>2</v>
      </c>
      <c r="B39" s="32">
        <v>45383</v>
      </c>
      <c r="C39" s="26" t="s">
        <v>93</v>
      </c>
      <c r="D39" s="29"/>
      <c r="E39" s="22">
        <f>-J39</f>
        <v>-20000000</v>
      </c>
      <c r="F39" s="22">
        <f>E39*8%/12*6/30</f>
        <v>-26666.666666666668</v>
      </c>
      <c r="H39" s="36">
        <v>45407</v>
      </c>
      <c r="I39" s="22" t="s">
        <v>91</v>
      </c>
      <c r="J39" s="22">
        <v>20000000</v>
      </c>
      <c r="K39" s="24" t="s">
        <v>92</v>
      </c>
    </row>
    <row r="40" spans="1:23" x14ac:dyDescent="0.25">
      <c r="A40" s="22">
        <f>A39+1</f>
        <v>3</v>
      </c>
      <c r="B40" s="32">
        <v>45383</v>
      </c>
      <c r="C40" s="43" t="s">
        <v>94</v>
      </c>
      <c r="D40" s="44"/>
      <c r="E40" s="45">
        <f>-J40</f>
        <v>-354956</v>
      </c>
      <c r="F40" s="45">
        <f>E40*8%/12*1/30</f>
        <v>-78.879111111111115</v>
      </c>
      <c r="H40" s="36">
        <v>45412</v>
      </c>
      <c r="I40" s="22" t="s">
        <v>96</v>
      </c>
      <c r="J40" s="22">
        <v>354956</v>
      </c>
      <c r="K40" s="24" t="s">
        <v>97</v>
      </c>
      <c r="M40" s="34"/>
      <c r="P40" s="35"/>
    </row>
    <row r="41" spans="1:23" ht="13" x14ac:dyDescent="0.3">
      <c r="A41" s="22"/>
      <c r="B41" s="22"/>
      <c r="C41" s="23" t="s">
        <v>95</v>
      </c>
      <c r="D41" s="22"/>
      <c r="E41" s="30">
        <f>SUM(E39:E40)</f>
        <v>-20354956</v>
      </c>
      <c r="F41" s="23" cm="1">
        <f t="array" ref="F41">SUM(ROUND(F38:F40,0))</f>
        <v>302509</v>
      </c>
      <c r="H41" s="22"/>
      <c r="I41" s="22"/>
      <c r="J41" s="22"/>
      <c r="M41" s="34"/>
      <c r="P41" s="35"/>
    </row>
    <row r="43" spans="1:23" x14ac:dyDescent="0.25">
      <c r="A43" s="26" t="s">
        <v>46</v>
      </c>
      <c r="B43" s="26" t="s">
        <v>45</v>
      </c>
      <c r="C43" s="26" t="s">
        <v>47</v>
      </c>
      <c r="D43" s="26" t="s">
        <v>48</v>
      </c>
      <c r="E43" s="26" t="s">
        <v>49</v>
      </c>
      <c r="F43" s="26" t="s">
        <v>37</v>
      </c>
      <c r="H43" s="26" t="s">
        <v>54</v>
      </c>
      <c r="I43" s="26" t="s">
        <v>55</v>
      </c>
      <c r="J43" s="26" t="s">
        <v>56</v>
      </c>
    </row>
    <row r="44" spans="1:23" x14ac:dyDescent="0.25">
      <c r="A44" s="22">
        <v>1</v>
      </c>
      <c r="B44" s="32">
        <v>45413</v>
      </c>
      <c r="C44" s="33" t="s">
        <v>50</v>
      </c>
      <c r="D44" s="29">
        <f>'SPC Astn Apr 24 to Apr 26'!D4</f>
        <v>29305542.072000019</v>
      </c>
      <c r="E44" s="29"/>
      <c r="F44" s="22">
        <f>D44*8%/12</f>
        <v>195370.28048000016</v>
      </c>
      <c r="H44" s="36"/>
      <c r="I44" s="22"/>
      <c r="J44" s="22"/>
      <c r="M44" s="34"/>
      <c r="P44" s="34"/>
      <c r="S44" s="35"/>
    </row>
    <row r="45" spans="1:23" x14ac:dyDescent="0.25">
      <c r="A45" s="22">
        <f>A44+1</f>
        <v>2</v>
      </c>
      <c r="B45" s="32">
        <v>45413</v>
      </c>
      <c r="C45" s="26" t="s">
        <v>116</v>
      </c>
      <c r="D45" s="29"/>
      <c r="E45" s="22">
        <f>-J45</f>
        <v>-272258</v>
      </c>
      <c r="F45" s="22">
        <f>E45*8%/12*19/31</f>
        <v>-1112.4520430107527</v>
      </c>
      <c r="H45" s="36">
        <v>45425</v>
      </c>
      <c r="I45" s="22" t="s">
        <v>112</v>
      </c>
      <c r="J45" s="22">
        <v>272258</v>
      </c>
      <c r="K45" s="24" t="s">
        <v>114</v>
      </c>
    </row>
    <row r="46" spans="1:23" x14ac:dyDescent="0.25">
      <c r="A46" s="22">
        <f>A45+1</f>
        <v>3</v>
      </c>
      <c r="B46" s="32">
        <v>45413</v>
      </c>
      <c r="C46" s="43" t="s">
        <v>117</v>
      </c>
      <c r="D46" s="44"/>
      <c r="E46" s="45">
        <f>-J46</f>
        <v>-17500000</v>
      </c>
      <c r="F46" s="45">
        <f>E46*8%/12*3/31</f>
        <v>-11290.322580645161</v>
      </c>
      <c r="H46" s="36">
        <v>45441</v>
      </c>
      <c r="I46" s="22" t="s">
        <v>113</v>
      </c>
      <c r="J46" s="22">
        <v>17500000</v>
      </c>
      <c r="K46" s="24" t="s">
        <v>115</v>
      </c>
      <c r="P46" s="34"/>
      <c r="W46" s="41"/>
    </row>
    <row r="47" spans="1:23" ht="13" x14ac:dyDescent="0.3">
      <c r="A47" s="22"/>
      <c r="B47" s="22"/>
      <c r="C47" s="23" t="s">
        <v>124</v>
      </c>
      <c r="D47" s="22"/>
      <c r="E47" s="30">
        <f>SUM(E45:E46)</f>
        <v>-17772258</v>
      </c>
      <c r="F47" s="23" cm="1">
        <f t="array" ref="F47">SUM(ROUND(F44:F46,0))</f>
        <v>182968</v>
      </c>
      <c r="H47" s="22"/>
      <c r="I47" s="22"/>
      <c r="J47" s="22"/>
      <c r="N47" s="35"/>
    </row>
    <row r="48" spans="1:23" x14ac:dyDescent="0.25">
      <c r="P48" s="34"/>
      <c r="W48" s="41"/>
    </row>
    <row r="49" spans="1:17" x14ac:dyDescent="0.25">
      <c r="A49" s="26" t="s">
        <v>46</v>
      </c>
      <c r="B49" s="26" t="s">
        <v>45</v>
      </c>
      <c r="C49" s="26" t="s">
        <v>47</v>
      </c>
      <c r="D49" s="26" t="s">
        <v>48</v>
      </c>
      <c r="E49" s="26" t="s">
        <v>49</v>
      </c>
      <c r="F49" s="26" t="s">
        <v>37</v>
      </c>
      <c r="H49" s="26" t="s">
        <v>54</v>
      </c>
      <c r="I49" s="26" t="s">
        <v>55</v>
      </c>
      <c r="J49" s="26" t="s">
        <v>56</v>
      </c>
    </row>
    <row r="50" spans="1:17" x14ac:dyDescent="0.25">
      <c r="A50" s="22">
        <v>1</v>
      </c>
      <c r="B50" s="32">
        <v>45444</v>
      </c>
      <c r="C50" s="33" t="s">
        <v>50</v>
      </c>
      <c r="D50" s="29">
        <f>'SPC Astn Apr 24 to Apr 26'!E4</f>
        <v>11697955.272000019</v>
      </c>
      <c r="E50" s="29"/>
      <c r="F50" s="22">
        <f>D50*8%/12</f>
        <v>77986.368480000121</v>
      </c>
      <c r="H50" s="36"/>
      <c r="I50" s="22"/>
      <c r="J50" s="22"/>
    </row>
    <row r="51" spans="1:17" x14ac:dyDescent="0.25">
      <c r="A51" s="22">
        <f>A50+1</f>
        <v>2</v>
      </c>
      <c r="B51" s="32">
        <v>45444</v>
      </c>
      <c r="C51" s="26" t="s">
        <v>125</v>
      </c>
      <c r="D51" s="29"/>
      <c r="E51" s="22">
        <f>-J51</f>
        <v>-164671.20000000001</v>
      </c>
      <c r="F51" s="22">
        <f>E51*8%/12*20/30</f>
        <v>-731.87200000000007</v>
      </c>
      <c r="H51" s="36">
        <v>45454</v>
      </c>
      <c r="I51" s="22" t="s">
        <v>123</v>
      </c>
      <c r="J51" s="22">
        <v>164671.20000000001</v>
      </c>
      <c r="K51" s="24" t="s">
        <v>122</v>
      </c>
    </row>
    <row r="52" spans="1:17" x14ac:dyDescent="0.25">
      <c r="A52" s="22">
        <f>A51+1</f>
        <v>3</v>
      </c>
      <c r="B52" s="32">
        <v>45444</v>
      </c>
      <c r="C52" s="43" t="s">
        <v>126</v>
      </c>
      <c r="D52" s="44"/>
      <c r="E52" s="45">
        <f>-J52</f>
        <v>-2500000</v>
      </c>
      <c r="F52" s="45">
        <f>E52*8%/12*2/30</f>
        <v>-1111.1111111111111</v>
      </c>
      <c r="H52" s="36">
        <v>45472</v>
      </c>
      <c r="I52" s="22" t="s">
        <v>120</v>
      </c>
      <c r="J52" s="22">
        <v>2500000</v>
      </c>
      <c r="K52" s="24" t="s">
        <v>121</v>
      </c>
    </row>
    <row r="53" spans="1:17" ht="13" x14ac:dyDescent="0.3">
      <c r="A53" s="22"/>
      <c r="B53" s="22"/>
      <c r="C53" s="23" t="s">
        <v>127</v>
      </c>
      <c r="D53" s="22"/>
      <c r="E53" s="30">
        <f>SUM(E51:E52)</f>
        <v>-2664671.2000000002</v>
      </c>
      <c r="F53" s="23" cm="1">
        <f t="array" ref="F53">SUM(ROUND(F50:F52,0))</f>
        <v>76143</v>
      </c>
      <c r="H53" s="22"/>
      <c r="I53" s="22"/>
      <c r="J53" s="22"/>
    </row>
    <row r="55" spans="1:17" x14ac:dyDescent="0.25">
      <c r="A55" s="26" t="s">
        <v>46</v>
      </c>
      <c r="B55" s="26" t="s">
        <v>45</v>
      </c>
      <c r="C55" s="26" t="s">
        <v>47</v>
      </c>
      <c r="D55" s="26" t="s">
        <v>48</v>
      </c>
      <c r="E55" s="26" t="s">
        <v>49</v>
      </c>
      <c r="F55" s="26" t="s">
        <v>37</v>
      </c>
      <c r="H55" s="26" t="s">
        <v>54</v>
      </c>
      <c r="I55" s="26" t="s">
        <v>55</v>
      </c>
      <c r="J55" s="26" t="s">
        <v>56</v>
      </c>
    </row>
    <row r="56" spans="1:17" x14ac:dyDescent="0.25">
      <c r="A56" s="22">
        <v>1</v>
      </c>
      <c r="B56" s="32">
        <v>45474</v>
      </c>
      <c r="C56" s="33" t="s">
        <v>50</v>
      </c>
      <c r="D56" s="29">
        <f>'SPC Astn Apr 24 to Apr 26'!F4</f>
        <v>9101812.7720000185</v>
      </c>
      <c r="E56" s="29"/>
      <c r="F56" s="22">
        <f>D56*8%/12</f>
        <v>60678.75181333346</v>
      </c>
      <c r="H56" s="36"/>
      <c r="I56" s="22"/>
      <c r="J56" s="22"/>
    </row>
    <row r="57" spans="1:17" x14ac:dyDescent="0.25">
      <c r="A57" s="22">
        <f>A56+1</f>
        <v>2</v>
      </c>
      <c r="B57" s="32">
        <v>45474</v>
      </c>
      <c r="C57" s="26" t="s">
        <v>139</v>
      </c>
      <c r="D57" s="29"/>
      <c r="E57" s="22">
        <f>-J57</f>
        <v>-68529</v>
      </c>
      <c r="F57" s="22">
        <f>E57*8%/12*21/31</f>
        <v>-309.48580645161286</v>
      </c>
      <c r="H57" s="36">
        <v>45484</v>
      </c>
      <c r="I57" s="22" t="s">
        <v>137</v>
      </c>
      <c r="J57" s="22">
        <v>68529</v>
      </c>
      <c r="K57" s="24" t="s">
        <v>138</v>
      </c>
      <c r="N57" s="34"/>
      <c r="Q57" s="35"/>
    </row>
    <row r="58" spans="1:17" ht="13" x14ac:dyDescent="0.3">
      <c r="A58" s="22"/>
      <c r="B58" s="22"/>
      <c r="C58" s="23" t="s">
        <v>140</v>
      </c>
      <c r="D58" s="22"/>
      <c r="E58" s="30">
        <f>SUM(E57:E57)</f>
        <v>-68529</v>
      </c>
      <c r="F58" s="23" cm="1">
        <f t="array" ref="F58">SUM(ROUND(F56:F57,0))</f>
        <v>60370</v>
      </c>
      <c r="H58" s="22"/>
      <c r="I58" s="22"/>
      <c r="J58" s="22"/>
    </row>
    <row r="60" spans="1:17" x14ac:dyDescent="0.25">
      <c r="A60" s="26" t="s">
        <v>46</v>
      </c>
      <c r="B60" s="26" t="s">
        <v>45</v>
      </c>
      <c r="C60" s="26" t="s">
        <v>47</v>
      </c>
      <c r="D60" s="26" t="s">
        <v>48</v>
      </c>
      <c r="E60" s="26" t="s">
        <v>49</v>
      </c>
      <c r="F60" s="26" t="s">
        <v>37</v>
      </c>
      <c r="H60" s="26" t="s">
        <v>54</v>
      </c>
      <c r="I60" s="26" t="s">
        <v>55</v>
      </c>
      <c r="J60" s="26" t="s">
        <v>56</v>
      </c>
    </row>
    <row r="61" spans="1:17" x14ac:dyDescent="0.25">
      <c r="A61" s="22">
        <v>1</v>
      </c>
      <c r="B61" s="32">
        <v>45505</v>
      </c>
      <c r="C61" s="33" t="s">
        <v>50</v>
      </c>
      <c r="D61" s="29">
        <f>'SPC Astn Apr 24 to Apr 26'!G4</f>
        <v>9087616.7720000185</v>
      </c>
      <c r="E61" s="29"/>
      <c r="F61" s="22">
        <f>D61*8%/12</f>
        <v>60584.11181333346</v>
      </c>
      <c r="H61" s="36"/>
      <c r="I61" s="22"/>
      <c r="J61" s="22"/>
    </row>
    <row r="62" spans="1:17" x14ac:dyDescent="0.25">
      <c r="A62" s="22">
        <f>A61+1</f>
        <v>2</v>
      </c>
      <c r="B62" s="32">
        <v>45505</v>
      </c>
      <c r="C62" s="26" t="s">
        <v>143</v>
      </c>
      <c r="D62" s="29"/>
      <c r="E62" s="22">
        <v>0</v>
      </c>
      <c r="F62" s="22">
        <f>E62*8%/12*21/31</f>
        <v>0</v>
      </c>
      <c r="H62" s="36"/>
      <c r="I62" s="22"/>
      <c r="J62" s="22"/>
      <c r="K62" s="24"/>
    </row>
    <row r="63" spans="1:17" ht="13" x14ac:dyDescent="0.3">
      <c r="A63" s="22"/>
      <c r="B63" s="22"/>
      <c r="C63" s="23" t="s">
        <v>144</v>
      </c>
      <c r="D63" s="22"/>
      <c r="E63" s="30">
        <f>SUM(E62:E62)</f>
        <v>0</v>
      </c>
      <c r="F63" s="23" cm="1">
        <f t="array" ref="F63">SUM(ROUND(F61:F62,0))</f>
        <v>60584</v>
      </c>
      <c r="H63" s="22"/>
      <c r="I63" s="22"/>
      <c r="J63" s="22"/>
    </row>
    <row r="65" spans="1:11" x14ac:dyDescent="0.25">
      <c r="A65" s="26" t="s">
        <v>46</v>
      </c>
      <c r="B65" s="26" t="s">
        <v>45</v>
      </c>
      <c r="C65" s="26" t="s">
        <v>47</v>
      </c>
      <c r="D65" s="26" t="s">
        <v>48</v>
      </c>
      <c r="E65" s="26" t="s">
        <v>49</v>
      </c>
      <c r="F65" s="26" t="s">
        <v>37</v>
      </c>
      <c r="H65" s="26" t="s">
        <v>54</v>
      </c>
      <c r="I65" s="26" t="s">
        <v>55</v>
      </c>
      <c r="J65" s="26" t="s">
        <v>56</v>
      </c>
    </row>
    <row r="66" spans="1:11" x14ac:dyDescent="0.25">
      <c r="A66" s="22">
        <v>1</v>
      </c>
      <c r="B66" s="32">
        <v>45536</v>
      </c>
      <c r="C66" s="33" t="s">
        <v>50</v>
      </c>
      <c r="D66" s="29">
        <f>'SPC Astn Apr 24 to Apr 26'!H4</f>
        <v>9142142.3720000181</v>
      </c>
      <c r="E66" s="29"/>
      <c r="F66" s="22">
        <f>D66*8%/12</f>
        <v>60947.615813333454</v>
      </c>
      <c r="H66" s="36"/>
      <c r="I66" s="22"/>
      <c r="J66" s="22"/>
    </row>
    <row r="67" spans="1:11" x14ac:dyDescent="0.25">
      <c r="A67" s="22">
        <f>A66+1</f>
        <v>2</v>
      </c>
      <c r="B67" s="32">
        <v>45536</v>
      </c>
      <c r="C67" s="26" t="s">
        <v>148</v>
      </c>
      <c r="D67" s="29"/>
      <c r="E67" s="22">
        <f>-J67</f>
        <v>-108859</v>
      </c>
      <c r="F67" s="22">
        <f>E67*8%/12*18/30</f>
        <v>-435.43599999999992</v>
      </c>
      <c r="H67" s="36">
        <v>45548</v>
      </c>
      <c r="I67" s="22" t="s">
        <v>149</v>
      </c>
      <c r="J67" s="22">
        <v>108859</v>
      </c>
      <c r="K67" t="s">
        <v>150</v>
      </c>
    </row>
    <row r="68" spans="1:11" ht="13" x14ac:dyDescent="0.3">
      <c r="A68" s="22"/>
      <c r="B68" s="22"/>
      <c r="C68" s="23" t="s">
        <v>147</v>
      </c>
      <c r="D68" s="22"/>
      <c r="E68" s="30">
        <f>SUM(E67:E67)</f>
        <v>-108859</v>
      </c>
      <c r="F68" s="23" cm="1">
        <f t="array" ref="F68">SUM(ROUND(F66:F67,0))</f>
        <v>60513</v>
      </c>
      <c r="H68" s="22"/>
      <c r="I68" s="22"/>
      <c r="J68" s="22"/>
    </row>
    <row r="70" spans="1:11" x14ac:dyDescent="0.25">
      <c r="A70" s="26" t="s">
        <v>46</v>
      </c>
      <c r="B70" s="26" t="s">
        <v>45</v>
      </c>
      <c r="C70" s="26" t="s">
        <v>47</v>
      </c>
      <c r="D70" s="26" t="s">
        <v>48</v>
      </c>
      <c r="E70" s="26" t="s">
        <v>49</v>
      </c>
      <c r="F70" s="26" t="s">
        <v>37</v>
      </c>
      <c r="H70" s="26" t="s">
        <v>54</v>
      </c>
      <c r="I70" s="26" t="s">
        <v>55</v>
      </c>
      <c r="J70" s="26" t="s">
        <v>56</v>
      </c>
    </row>
    <row r="71" spans="1:11" x14ac:dyDescent="0.25">
      <c r="A71" s="22">
        <v>1</v>
      </c>
      <c r="B71" s="32">
        <v>45566</v>
      </c>
      <c r="C71" s="33" t="s">
        <v>50</v>
      </c>
      <c r="D71" s="29">
        <f>'SPC Astn Apr 24 to Apr 26'!I4</f>
        <v>9099267.0720000174</v>
      </c>
      <c r="E71" s="29"/>
      <c r="F71" s="22">
        <f>D71*8%/12</f>
        <v>60661.78048000011</v>
      </c>
      <c r="H71" s="36"/>
      <c r="I71" s="22"/>
      <c r="J71" s="22"/>
    </row>
    <row r="72" spans="1:11" x14ac:dyDescent="0.25">
      <c r="A72" s="22">
        <f>A71+1</f>
        <v>2</v>
      </c>
      <c r="B72" s="32">
        <v>45566</v>
      </c>
      <c r="C72" s="26" t="s">
        <v>152</v>
      </c>
      <c r="D72" s="29"/>
      <c r="E72" s="22">
        <f>-J72</f>
        <v>-54461.7</v>
      </c>
      <c r="F72" s="22">
        <f>E72*8%/12*10/31</f>
        <v>-117.12193548387096</v>
      </c>
      <c r="H72" s="36">
        <v>45587</v>
      </c>
      <c r="I72" s="22" t="s">
        <v>154</v>
      </c>
      <c r="J72" s="22">
        <v>54461.7</v>
      </c>
      <c r="K72" s="24" t="s">
        <v>155</v>
      </c>
    </row>
    <row r="73" spans="1:11" ht="13" x14ac:dyDescent="0.3">
      <c r="A73" s="22"/>
      <c r="B73" s="22"/>
      <c r="C73" s="23" t="s">
        <v>153</v>
      </c>
      <c r="D73" s="22"/>
      <c r="E73" s="30">
        <f>SUM(E72:E72)</f>
        <v>-54461.7</v>
      </c>
      <c r="F73" s="23" cm="1">
        <f t="array" ref="F73">SUM(ROUND(F71:F72,0))</f>
        <v>60545</v>
      </c>
      <c r="H73" s="22"/>
      <c r="I73" s="22"/>
      <c r="J73" s="22"/>
    </row>
    <row r="75" spans="1:11" x14ac:dyDescent="0.25">
      <c r="A75" s="26" t="s">
        <v>46</v>
      </c>
      <c r="B75" s="26" t="s">
        <v>45</v>
      </c>
      <c r="C75" s="26" t="s">
        <v>47</v>
      </c>
      <c r="D75" s="26" t="s">
        <v>48</v>
      </c>
      <c r="E75" s="26" t="s">
        <v>49</v>
      </c>
      <c r="F75" s="26" t="s">
        <v>37</v>
      </c>
      <c r="H75" s="26" t="s">
        <v>54</v>
      </c>
      <c r="I75" s="26" t="s">
        <v>55</v>
      </c>
      <c r="J75" s="26" t="s">
        <v>56</v>
      </c>
    </row>
    <row r="76" spans="1:11" x14ac:dyDescent="0.25">
      <c r="A76" s="22">
        <v>1</v>
      </c>
      <c r="B76" s="32">
        <v>45597</v>
      </c>
      <c r="C76" s="33" t="s">
        <v>50</v>
      </c>
      <c r="D76" s="29">
        <f>'SPC Astn Apr 24 to Apr 26'!J4</f>
        <v>9099295.8720000181</v>
      </c>
      <c r="E76" s="29"/>
      <c r="F76" s="22">
        <f>D76*8%/12</f>
        <v>60661.97248000012</v>
      </c>
      <c r="H76" s="36"/>
      <c r="I76" s="22"/>
      <c r="J76" s="22"/>
    </row>
    <row r="77" spans="1:11" x14ac:dyDescent="0.25">
      <c r="A77" s="22">
        <f>A76+1</f>
        <v>2</v>
      </c>
      <c r="B77" s="32">
        <v>45597</v>
      </c>
      <c r="C77" s="26" t="s">
        <v>159</v>
      </c>
      <c r="D77" s="29"/>
      <c r="E77" s="22">
        <f>-J77</f>
        <v>-54490.5</v>
      </c>
      <c r="F77" s="22">
        <f>E77*8%/12*20/30</f>
        <v>-242.17999999999998</v>
      </c>
      <c r="H77" s="36">
        <v>45607</v>
      </c>
      <c r="I77" s="22" t="s">
        <v>158</v>
      </c>
      <c r="J77" s="22">
        <v>54490.5</v>
      </c>
      <c r="K77" s="24" t="s">
        <v>157</v>
      </c>
    </row>
    <row r="78" spans="1:11" ht="13" x14ac:dyDescent="0.3">
      <c r="A78" s="22"/>
      <c r="B78" s="22"/>
      <c r="C78" s="23" t="s">
        <v>167</v>
      </c>
      <c r="D78" s="22"/>
      <c r="E78" s="30">
        <f>SUM(E77:E77)</f>
        <v>-54490.5</v>
      </c>
      <c r="F78" s="23" cm="1">
        <f t="array" ref="F78">SUM(ROUND(F76:F77,0))</f>
        <v>60420</v>
      </c>
      <c r="H78" s="22"/>
      <c r="I78" s="22"/>
      <c r="J78" s="22"/>
    </row>
    <row r="80" spans="1:11" x14ac:dyDescent="0.25">
      <c r="A80" s="26" t="s">
        <v>46</v>
      </c>
      <c r="B80" s="26" t="s">
        <v>45</v>
      </c>
      <c r="C80" s="26" t="s">
        <v>47</v>
      </c>
      <c r="D80" s="26" t="s">
        <v>48</v>
      </c>
      <c r="E80" s="26" t="s">
        <v>49</v>
      </c>
      <c r="F80" s="26" t="s">
        <v>37</v>
      </c>
      <c r="H80" s="26" t="s">
        <v>54</v>
      </c>
      <c r="I80" s="26" t="s">
        <v>55</v>
      </c>
      <c r="J80" s="26" t="s">
        <v>56</v>
      </c>
    </row>
    <row r="81" spans="1:11" x14ac:dyDescent="0.25">
      <c r="A81" s="22">
        <v>1</v>
      </c>
      <c r="B81" s="32">
        <v>45627</v>
      </c>
      <c r="C81" s="33" t="s">
        <v>50</v>
      </c>
      <c r="D81" s="29">
        <f>'SPC Astn Apr 24 to Apr 26'!K4</f>
        <v>9099183.3720000181</v>
      </c>
      <c r="E81" s="29"/>
      <c r="F81" s="22">
        <f>D81*8%/12</f>
        <v>60661.22248000012</v>
      </c>
      <c r="H81" s="36"/>
      <c r="I81" s="22"/>
      <c r="J81" s="22"/>
    </row>
    <row r="82" spans="1:11" x14ac:dyDescent="0.25">
      <c r="A82" s="22">
        <f>A81+1</f>
        <v>2</v>
      </c>
      <c r="B82" s="32">
        <v>45627</v>
      </c>
      <c r="C82" s="26" t="s">
        <v>164</v>
      </c>
      <c r="D82" s="29"/>
      <c r="E82" s="22">
        <f>-J82</f>
        <v>-54378</v>
      </c>
      <c r="F82" s="22">
        <f>E82*8%/12*22/31</f>
        <v>-257.27225806451611</v>
      </c>
      <c r="H82" t="s">
        <v>161</v>
      </c>
      <c r="I82" s="22" t="s">
        <v>162</v>
      </c>
      <c r="J82">
        <v>54378</v>
      </c>
      <c r="K82" s="24" t="s">
        <v>163</v>
      </c>
    </row>
    <row r="83" spans="1:11" ht="13" x14ac:dyDescent="0.3">
      <c r="A83" s="22"/>
      <c r="B83" s="22"/>
      <c r="C83" s="23" t="s">
        <v>168</v>
      </c>
      <c r="D83" s="22"/>
      <c r="E83" s="30">
        <f>SUM(E82:E82)</f>
        <v>-54378</v>
      </c>
      <c r="F83" s="23" cm="1">
        <f t="array" ref="F83">SUM(ROUND(F81:F82,0))</f>
        <v>60404</v>
      </c>
      <c r="H83" s="22"/>
      <c r="I83" s="22"/>
      <c r="J83" s="22"/>
    </row>
    <row r="85" spans="1:11" x14ac:dyDescent="0.25">
      <c r="A85" s="26" t="s">
        <v>46</v>
      </c>
      <c r="B85" s="26" t="s">
        <v>45</v>
      </c>
      <c r="C85" s="26" t="s">
        <v>47</v>
      </c>
      <c r="D85" s="26" t="s">
        <v>48</v>
      </c>
      <c r="E85" s="26" t="s">
        <v>49</v>
      </c>
      <c r="F85" s="26" t="s">
        <v>37</v>
      </c>
      <c r="H85" s="26" t="s">
        <v>54</v>
      </c>
      <c r="I85" s="26" t="s">
        <v>55</v>
      </c>
      <c r="J85" s="26" t="s">
        <v>56</v>
      </c>
    </row>
    <row r="86" spans="1:11" x14ac:dyDescent="0.25">
      <c r="A86" s="22">
        <v>1</v>
      </c>
      <c r="B86" s="32">
        <v>45658</v>
      </c>
      <c r="C86" s="33" t="s">
        <v>50</v>
      </c>
      <c r="D86" s="29">
        <f>'SPC Astn Apr 24 to Apr 26'!L4</f>
        <v>9099168.9720000178</v>
      </c>
      <c r="E86" s="29"/>
      <c r="F86" s="22">
        <f>D86*8%/12</f>
        <v>60661.126480000123</v>
      </c>
      <c r="H86" s="36"/>
      <c r="I86" s="22"/>
      <c r="J86" s="22"/>
    </row>
    <row r="87" spans="1:11" ht="15" thickBot="1" x14ac:dyDescent="0.3">
      <c r="A87" s="22">
        <f>A86+1</f>
        <v>2</v>
      </c>
      <c r="B87" s="32">
        <v>45658</v>
      </c>
      <c r="C87" s="26" t="s">
        <v>170</v>
      </c>
      <c r="D87" s="29"/>
      <c r="E87" s="22">
        <f>-J87</f>
        <v>-54363.6</v>
      </c>
      <c r="F87" s="22">
        <f>E87*8%/12*16/31</f>
        <v>-187.05754838709677</v>
      </c>
      <c r="H87" s="64">
        <v>45673</v>
      </c>
      <c r="I87" s="65" t="s">
        <v>171</v>
      </c>
      <c r="J87">
        <v>54363.6</v>
      </c>
    </row>
    <row r="88" spans="1:11" ht="13" x14ac:dyDescent="0.3">
      <c r="A88" s="22"/>
      <c r="B88" s="22"/>
      <c r="C88" s="23" t="s">
        <v>169</v>
      </c>
      <c r="D88" s="22"/>
      <c r="E88" s="30">
        <f>SUM(E87:E87)</f>
        <v>-54363.6</v>
      </c>
      <c r="F88" s="23" cm="1">
        <f t="array" ref="F88">SUM(ROUND(F86:F87,0))</f>
        <v>60474</v>
      </c>
      <c r="H88" s="22"/>
      <c r="I88" s="22"/>
      <c r="J88" s="22"/>
    </row>
    <row r="90" spans="1:11" x14ac:dyDescent="0.25">
      <c r="A90" s="26" t="s">
        <v>46</v>
      </c>
      <c r="B90" s="26" t="s">
        <v>45</v>
      </c>
      <c r="C90" s="26" t="s">
        <v>47</v>
      </c>
      <c r="D90" s="26" t="s">
        <v>48</v>
      </c>
      <c r="E90" s="26" t="s">
        <v>49</v>
      </c>
      <c r="F90" s="26" t="s">
        <v>37</v>
      </c>
      <c r="H90" s="26" t="s">
        <v>54</v>
      </c>
      <c r="I90" s="26" t="s">
        <v>55</v>
      </c>
      <c r="J90" s="26" t="s">
        <v>56</v>
      </c>
    </row>
    <row r="91" spans="1:11" x14ac:dyDescent="0.25">
      <c r="A91" s="22">
        <v>1</v>
      </c>
      <c r="B91" s="32">
        <v>45689</v>
      </c>
      <c r="C91" s="33" t="s">
        <v>50</v>
      </c>
      <c r="D91" s="29">
        <f>'SPC Astn Apr 24 to Apr 26'!M4</f>
        <v>9099231.9720000178</v>
      </c>
      <c r="E91" s="29"/>
      <c r="F91" s="22">
        <f>D91*8%/12</f>
        <v>60661.546480000114</v>
      </c>
      <c r="H91" s="36"/>
      <c r="I91" s="22"/>
      <c r="J91" s="22"/>
    </row>
    <row r="92" spans="1:11" ht="15" thickBot="1" x14ac:dyDescent="0.3">
      <c r="A92" s="22">
        <f>A91+1</f>
        <v>2</v>
      </c>
      <c r="B92" s="32">
        <v>45689</v>
      </c>
      <c r="C92" s="26" t="s">
        <v>173</v>
      </c>
      <c r="D92" s="29"/>
      <c r="E92" s="22">
        <f>-J92</f>
        <v>-54426.6</v>
      </c>
      <c r="F92" s="22">
        <f>E92*8%/12*12/28</f>
        <v>-155.50457142857141</v>
      </c>
      <c r="H92" s="64">
        <v>45705</v>
      </c>
      <c r="I92" t="s">
        <v>175</v>
      </c>
      <c r="J92">
        <v>54426.6</v>
      </c>
    </row>
    <row r="93" spans="1:11" ht="13" x14ac:dyDescent="0.3">
      <c r="A93" s="22"/>
      <c r="B93" s="22"/>
      <c r="C93" s="23" t="s">
        <v>174</v>
      </c>
      <c r="D93" s="22"/>
      <c r="E93" s="30">
        <f>SUM(E92:E92)</f>
        <v>-54426.6</v>
      </c>
      <c r="F93" s="23" cm="1">
        <f t="array" ref="F93">SUM(ROUND(F91:F92,0))</f>
        <v>60506</v>
      </c>
      <c r="H93" s="22"/>
      <c r="I93" s="22"/>
      <c r="J93" s="22"/>
    </row>
    <row r="95" spans="1:11" x14ac:dyDescent="0.25">
      <c r="A95" s="26" t="s">
        <v>46</v>
      </c>
      <c r="B95" s="26" t="s">
        <v>45</v>
      </c>
      <c r="C95" s="26" t="s">
        <v>47</v>
      </c>
      <c r="D95" s="26" t="s">
        <v>48</v>
      </c>
      <c r="E95" s="26" t="s">
        <v>49</v>
      </c>
      <c r="F95" s="26" t="s">
        <v>37</v>
      </c>
      <c r="H95" s="26" t="s">
        <v>54</v>
      </c>
      <c r="I95" s="26" t="s">
        <v>55</v>
      </c>
      <c r="J95" s="26" t="s">
        <v>56</v>
      </c>
    </row>
    <row r="96" spans="1:11" x14ac:dyDescent="0.25">
      <c r="A96" s="22">
        <v>1</v>
      </c>
      <c r="B96" s="32">
        <v>45717</v>
      </c>
      <c r="C96" s="33" t="s">
        <v>50</v>
      </c>
      <c r="D96" s="29">
        <f>'SPC Astn Apr 24 to Apr 26'!N4</f>
        <v>9099260.7720000185</v>
      </c>
      <c r="E96" s="29"/>
      <c r="F96" s="22">
        <f>D96*8%/12</f>
        <v>60661.738480000124</v>
      </c>
      <c r="H96" s="36"/>
      <c r="I96" s="22"/>
      <c r="J96" s="22"/>
    </row>
    <row r="97" spans="1:12" ht="15" thickBot="1" x14ac:dyDescent="0.3">
      <c r="A97" s="22">
        <f>A96+1</f>
        <v>2</v>
      </c>
      <c r="B97" s="32">
        <v>45717</v>
      </c>
      <c r="C97" s="26" t="s">
        <v>177</v>
      </c>
      <c r="D97" s="29"/>
      <c r="E97" s="22">
        <f>-J97</f>
        <v>-54455.4</v>
      </c>
      <c r="F97" s="22">
        <f>E97*8%/12*19/31</f>
        <v>-222.50593548387099</v>
      </c>
      <c r="H97" s="64">
        <v>45729</v>
      </c>
      <c r="I97" t="s">
        <v>179</v>
      </c>
      <c r="J97" s="41">
        <v>54455.4</v>
      </c>
    </row>
    <row r="98" spans="1:12" ht="13" x14ac:dyDescent="0.3">
      <c r="A98" s="22"/>
      <c r="B98" s="22"/>
      <c r="C98" s="23" t="s">
        <v>178</v>
      </c>
      <c r="D98" s="22"/>
      <c r="E98" s="30">
        <f>SUM(E97:E97)</f>
        <v>-54455.4</v>
      </c>
      <c r="F98" s="23" cm="1">
        <f t="array" ref="F98">SUM(ROUND(F96:F97,0))</f>
        <v>60439</v>
      </c>
      <c r="H98" s="22"/>
      <c r="I98" s="22"/>
      <c r="J98" s="22"/>
    </row>
    <row r="100" spans="1:12" x14ac:dyDescent="0.25">
      <c r="A100" s="26" t="s">
        <v>46</v>
      </c>
      <c r="B100" s="26" t="s">
        <v>45</v>
      </c>
      <c r="C100" s="26" t="s">
        <v>47</v>
      </c>
      <c r="D100" s="26" t="s">
        <v>48</v>
      </c>
      <c r="E100" s="26" t="s">
        <v>49</v>
      </c>
      <c r="F100" s="26" t="s">
        <v>37</v>
      </c>
      <c r="H100" s="26" t="s">
        <v>54</v>
      </c>
      <c r="I100" s="26" t="s">
        <v>55</v>
      </c>
      <c r="J100" s="26" t="s">
        <v>56</v>
      </c>
    </row>
    <row r="101" spans="1:12" x14ac:dyDescent="0.25">
      <c r="A101" s="22">
        <v>1</v>
      </c>
      <c r="B101" s="32">
        <v>45748</v>
      </c>
      <c r="C101" s="33" t="s">
        <v>50</v>
      </c>
      <c r="D101" s="29">
        <f>'SPC Astn Apr 24 to Apr 26'!O4</f>
        <v>9099200.4720000178</v>
      </c>
      <c r="E101" s="29"/>
      <c r="F101" s="22">
        <f>D101*8%/12</f>
        <v>60661.336480000122</v>
      </c>
      <c r="H101" s="36"/>
      <c r="I101" s="22"/>
      <c r="J101" s="22"/>
    </row>
    <row r="102" spans="1:12" ht="14.5" x14ac:dyDescent="0.35">
      <c r="A102" s="22">
        <f>A101+1</f>
        <v>2</v>
      </c>
      <c r="B102" s="32">
        <v>45748</v>
      </c>
      <c r="C102" s="26" t="s">
        <v>181</v>
      </c>
      <c r="D102" s="29"/>
      <c r="E102" s="22">
        <f>-J102</f>
        <v>-54395.1</v>
      </c>
      <c r="F102" s="22">
        <f>E102*8%/12*12/30</f>
        <v>-145.05360000000002</v>
      </c>
      <c r="H102" s="66">
        <v>45766</v>
      </c>
      <c r="I102" s="67" t="s">
        <v>183</v>
      </c>
      <c r="J102" s="68">
        <v>54395.1</v>
      </c>
    </row>
    <row r="103" spans="1:12" ht="13" x14ac:dyDescent="0.3">
      <c r="A103" s="22"/>
      <c r="B103" s="22"/>
      <c r="C103" s="23" t="s">
        <v>182</v>
      </c>
      <c r="D103" s="22"/>
      <c r="E103" s="30">
        <f>SUM(E102:E102)</f>
        <v>-54395.1</v>
      </c>
      <c r="F103" s="23" cm="1">
        <f t="array" ref="F103">SUM(ROUND(F101:F102,0))</f>
        <v>60516</v>
      </c>
      <c r="H103" s="22"/>
      <c r="I103" s="22"/>
      <c r="J103" s="22"/>
    </row>
    <row r="105" spans="1:12" x14ac:dyDescent="0.25">
      <c r="A105" s="26" t="s">
        <v>46</v>
      </c>
      <c r="B105" s="26" t="s">
        <v>45</v>
      </c>
      <c r="C105" s="26" t="s">
        <v>47</v>
      </c>
      <c r="D105" s="26" t="s">
        <v>48</v>
      </c>
      <c r="E105" s="26" t="s">
        <v>49</v>
      </c>
      <c r="F105" s="26" t="s">
        <v>37</v>
      </c>
      <c r="H105" s="26" t="s">
        <v>54</v>
      </c>
      <c r="I105" s="26" t="s">
        <v>55</v>
      </c>
      <c r="J105" s="26" t="s">
        <v>56</v>
      </c>
    </row>
    <row r="106" spans="1:12" x14ac:dyDescent="0.25">
      <c r="A106" s="22">
        <v>1</v>
      </c>
      <c r="B106" s="32">
        <v>45778</v>
      </c>
      <c r="C106" s="33" t="s">
        <v>50</v>
      </c>
      <c r="D106" s="29">
        <f>'SPC Astn Apr 24 to Apr 26'!P4</f>
        <v>9099269.7720000185</v>
      </c>
      <c r="E106" s="29"/>
      <c r="F106" s="22">
        <f>D106*8%/12</f>
        <v>60661.798480000121</v>
      </c>
      <c r="H106" s="36"/>
      <c r="I106" s="22"/>
      <c r="J106" s="22"/>
    </row>
    <row r="107" spans="1:12" ht="14.5" x14ac:dyDescent="0.35">
      <c r="A107" s="22">
        <f>A106+1</f>
        <v>2</v>
      </c>
      <c r="B107" s="32">
        <v>45778</v>
      </c>
      <c r="C107" s="26" t="s">
        <v>186</v>
      </c>
      <c r="D107" s="29"/>
      <c r="E107" s="22">
        <f>-J107</f>
        <v>-54464</v>
      </c>
      <c r="F107" s="22">
        <f>E107*8%/12*16/31</f>
        <v>-187.40301075268815</v>
      </c>
      <c r="H107" s="66">
        <v>45793</v>
      </c>
      <c r="I107" s="67" t="s">
        <v>185</v>
      </c>
      <c r="J107" s="68">
        <v>54464</v>
      </c>
    </row>
    <row r="108" spans="1:12" ht="13" x14ac:dyDescent="0.3">
      <c r="A108" s="22"/>
      <c r="B108" s="22"/>
      <c r="C108" s="23" t="s">
        <v>187</v>
      </c>
      <c r="D108" s="22"/>
      <c r="E108" s="30">
        <f>SUM(E107:E107)</f>
        <v>-54464</v>
      </c>
      <c r="F108" s="23" cm="1">
        <f t="array" ref="F108">SUM(ROUND(F106:F107,0))</f>
        <v>60475</v>
      </c>
      <c r="H108" s="22"/>
      <c r="I108" s="22"/>
      <c r="J108" s="22"/>
      <c r="L108" s="41"/>
    </row>
    <row r="110" spans="1:12" x14ac:dyDescent="0.25">
      <c r="A110" s="26" t="s">
        <v>46</v>
      </c>
      <c r="B110" s="26" t="s">
        <v>45</v>
      </c>
      <c r="C110" s="26" t="s">
        <v>47</v>
      </c>
      <c r="D110" s="26" t="s">
        <v>48</v>
      </c>
      <c r="E110" s="26" t="s">
        <v>49</v>
      </c>
      <c r="F110" s="26" t="s">
        <v>37</v>
      </c>
      <c r="H110" s="26" t="s">
        <v>54</v>
      </c>
      <c r="I110" s="26" t="s">
        <v>55</v>
      </c>
      <c r="J110" s="26" t="s">
        <v>56</v>
      </c>
    </row>
    <row r="111" spans="1:12" x14ac:dyDescent="0.25">
      <c r="A111" s="22">
        <v>1</v>
      </c>
      <c r="B111" s="32">
        <v>45809</v>
      </c>
      <c r="C111" s="33" t="s">
        <v>50</v>
      </c>
      <c r="D111" s="29">
        <f>'SPC Astn Apr 24 to Apr 26'!Q4</f>
        <v>9099233.2720000185</v>
      </c>
      <c r="E111" s="29"/>
      <c r="F111" s="22">
        <f>D111*8%/12</f>
        <v>60661.555146666789</v>
      </c>
      <c r="H111" s="36"/>
      <c r="I111" s="22"/>
      <c r="J111" s="22"/>
    </row>
    <row r="112" spans="1:12" ht="14.5" x14ac:dyDescent="0.35">
      <c r="A112" s="22">
        <f>A111+1</f>
        <v>2</v>
      </c>
      <c r="B112" s="32">
        <v>45809</v>
      </c>
      <c r="C112" s="26" t="s">
        <v>189</v>
      </c>
      <c r="D112" s="29"/>
      <c r="E112" s="22"/>
      <c r="F112" s="22">
        <f>E112*8%/12*16/31</f>
        <v>0</v>
      </c>
      <c r="H112" s="66"/>
      <c r="I112" s="67"/>
      <c r="J112" s="68"/>
    </row>
    <row r="113" spans="1:10" ht="13" x14ac:dyDescent="0.3">
      <c r="A113" s="22"/>
      <c r="B113" s="22"/>
      <c r="C113" s="23" t="s">
        <v>190</v>
      </c>
      <c r="D113" s="22"/>
      <c r="E113" s="30">
        <f>SUM(E112:E112)</f>
        <v>0</v>
      </c>
      <c r="F113" s="23" cm="1">
        <f t="array" ref="F113">SUM(ROUND(F111:F112,0))</f>
        <v>60662</v>
      </c>
      <c r="H113" s="22"/>
      <c r="I113" s="22"/>
      <c r="J113" s="22"/>
    </row>
    <row r="115" spans="1:10" x14ac:dyDescent="0.25">
      <c r="A115" s="26" t="s">
        <v>46</v>
      </c>
      <c r="B115" s="26" t="s">
        <v>45</v>
      </c>
      <c r="C115" s="26" t="s">
        <v>47</v>
      </c>
      <c r="D115" s="26" t="s">
        <v>48</v>
      </c>
      <c r="E115" s="26" t="s">
        <v>49</v>
      </c>
      <c r="F115" s="26" t="s">
        <v>37</v>
      </c>
      <c r="H115" s="26" t="s">
        <v>54</v>
      </c>
      <c r="I115" s="26" t="s">
        <v>55</v>
      </c>
      <c r="J115" s="26" t="s">
        <v>56</v>
      </c>
    </row>
    <row r="116" spans="1:10" x14ac:dyDescent="0.25">
      <c r="A116" s="22">
        <v>1</v>
      </c>
      <c r="B116" s="32">
        <v>45839</v>
      </c>
      <c r="C116" s="33" t="s">
        <v>50</v>
      </c>
      <c r="D116" s="29">
        <f>'SPC Astn Apr 24 to Apr 26'!R4</f>
        <v>9153829.0720000193</v>
      </c>
      <c r="E116" s="29"/>
      <c r="F116" s="22">
        <f>D116*8%/12</f>
        <v>61025.527146666798</v>
      </c>
      <c r="H116" s="36"/>
      <c r="I116" s="22"/>
      <c r="J116" s="22"/>
    </row>
    <row r="117" spans="1:10" x14ac:dyDescent="0.25">
      <c r="A117" s="22">
        <f>A116+1</f>
        <v>2</v>
      </c>
      <c r="B117" s="32">
        <v>45839</v>
      </c>
      <c r="C117" s="26" t="s">
        <v>189</v>
      </c>
      <c r="D117" s="29"/>
      <c r="E117" s="22">
        <f>-J117</f>
        <v>-109023.3</v>
      </c>
      <c r="F117" s="22">
        <f>E117*8%/12*29/31</f>
        <v>-679.93025806451612</v>
      </c>
      <c r="H117" s="36">
        <v>45841</v>
      </c>
      <c r="I117" s="22" t="s">
        <v>192</v>
      </c>
      <c r="J117" s="22">
        <v>109023.3</v>
      </c>
    </row>
    <row r="118" spans="1:10" ht="13" x14ac:dyDescent="0.3">
      <c r="A118" s="22"/>
      <c r="B118" s="22"/>
      <c r="C118" s="23" t="s">
        <v>193</v>
      </c>
      <c r="D118" s="22"/>
      <c r="E118" s="30">
        <f>SUM(E117:E117)</f>
        <v>-109023.3</v>
      </c>
      <c r="F118" s="23" cm="1">
        <f t="array" ref="F118">SUM(ROUND(F116:F117,0))</f>
        <v>60346</v>
      </c>
      <c r="H118" s="22"/>
      <c r="I118" s="22"/>
      <c r="J118" s="22"/>
    </row>
    <row r="120" spans="1:10" x14ac:dyDescent="0.25">
      <c r="A120" s="26" t="s">
        <v>46</v>
      </c>
      <c r="B120" s="26" t="s">
        <v>45</v>
      </c>
      <c r="C120" s="26" t="s">
        <v>47</v>
      </c>
      <c r="D120" s="26" t="s">
        <v>48</v>
      </c>
      <c r="E120" s="26" t="s">
        <v>49</v>
      </c>
      <c r="F120" s="26" t="s">
        <v>37</v>
      </c>
      <c r="H120" s="26" t="s">
        <v>54</v>
      </c>
      <c r="I120" s="26" t="s">
        <v>55</v>
      </c>
      <c r="J120" s="26" t="s">
        <v>56</v>
      </c>
    </row>
    <row r="121" spans="1:10" x14ac:dyDescent="0.25">
      <c r="A121" s="22">
        <v>1</v>
      </c>
      <c r="B121" s="32">
        <v>45870</v>
      </c>
      <c r="C121" s="33" t="s">
        <v>50</v>
      </c>
      <c r="D121" s="29">
        <f>'SPC Astn Apr 24 to Apr 26'!S4</f>
        <v>9099117.1720000189</v>
      </c>
      <c r="E121" s="29"/>
      <c r="F121" s="22">
        <f>D121*8%/12</f>
        <v>60660.781146666792</v>
      </c>
      <c r="H121" s="36"/>
      <c r="I121" s="22"/>
      <c r="J121" s="22"/>
    </row>
    <row r="122" spans="1:10" x14ac:dyDescent="0.25">
      <c r="A122" s="22">
        <f>A121+1</f>
        <v>2</v>
      </c>
      <c r="B122" s="32">
        <v>45870</v>
      </c>
      <c r="C122" s="26" t="s">
        <v>189</v>
      </c>
      <c r="D122" s="29"/>
      <c r="E122" s="22">
        <f>-J122</f>
        <v>-54311.4</v>
      </c>
      <c r="F122" s="22">
        <f>E122*8%/12*6/31</f>
        <v>-70.079225806451618</v>
      </c>
      <c r="H122" s="36">
        <v>45895</v>
      </c>
      <c r="I122" s="22" t="s">
        <v>196</v>
      </c>
      <c r="J122" s="69">
        <v>54311.4</v>
      </c>
    </row>
    <row r="123" spans="1:10" ht="13" x14ac:dyDescent="0.3">
      <c r="A123" s="22"/>
      <c r="B123" s="22"/>
      <c r="C123" s="23" t="s">
        <v>195</v>
      </c>
      <c r="D123" s="22"/>
      <c r="E123" s="30">
        <f>SUM(E122:E122)</f>
        <v>-54311.4</v>
      </c>
      <c r="F123" s="23" cm="1">
        <f t="array" ref="F123">SUM(ROUND(F121:F122,0))</f>
        <v>60591</v>
      </c>
      <c r="H123" s="22"/>
      <c r="I123" s="22"/>
      <c r="J123" s="22"/>
    </row>
    <row r="125" spans="1:10" x14ac:dyDescent="0.25">
      <c r="A125" s="26" t="s">
        <v>46</v>
      </c>
      <c r="B125" s="26" t="s">
        <v>45</v>
      </c>
      <c r="C125" s="26" t="s">
        <v>47</v>
      </c>
      <c r="D125" s="26" t="s">
        <v>48</v>
      </c>
      <c r="E125" s="26" t="s">
        <v>49</v>
      </c>
      <c r="F125" s="26" t="s">
        <v>37</v>
      </c>
      <c r="H125" s="26" t="s">
        <v>54</v>
      </c>
      <c r="I125" s="26" t="s">
        <v>55</v>
      </c>
      <c r="J125" s="26" t="s">
        <v>56</v>
      </c>
    </row>
    <row r="126" spans="1:10" x14ac:dyDescent="0.25">
      <c r="A126" s="22">
        <v>1</v>
      </c>
      <c r="B126" s="32">
        <v>45901</v>
      </c>
      <c r="C126" s="33" t="s">
        <v>50</v>
      </c>
      <c r="D126" s="29">
        <f>'SPC Astn Apr 24 to Apr 26'!T4</f>
        <v>9099337.6720000189</v>
      </c>
      <c r="E126" s="29"/>
      <c r="F126" s="22">
        <f>D126*8%/12</f>
        <v>60662.251146666793</v>
      </c>
      <c r="H126" s="36"/>
      <c r="I126" s="22"/>
      <c r="J126" s="22"/>
    </row>
    <row r="127" spans="1:10" ht="14.5" x14ac:dyDescent="0.35">
      <c r="A127" s="22">
        <f>A126+1</f>
        <v>2</v>
      </c>
      <c r="B127" s="32">
        <v>45901</v>
      </c>
      <c r="C127" s="26" t="s">
        <v>189</v>
      </c>
      <c r="D127" s="29"/>
      <c r="E127" s="22">
        <f>-J127</f>
        <v>-54531.9</v>
      </c>
      <c r="F127" s="22">
        <f>E127*8%/12*6/30</f>
        <v>-72.70920000000001</v>
      </c>
      <c r="H127" s="36">
        <v>45925</v>
      </c>
      <c r="I127" s="70" t="s">
        <v>199</v>
      </c>
      <c r="J127" s="69">
        <v>54531.9</v>
      </c>
    </row>
    <row r="128" spans="1:10" ht="13" x14ac:dyDescent="0.3">
      <c r="A128" s="22"/>
      <c r="B128" s="22"/>
      <c r="C128" s="23" t="s">
        <v>198</v>
      </c>
      <c r="D128" s="22"/>
      <c r="E128" s="30">
        <f>SUM(E127:E127)</f>
        <v>-54531.9</v>
      </c>
      <c r="F128" s="23" cm="1">
        <f t="array" ref="F128">SUM(ROUND(F126:F127,0))</f>
        <v>60589</v>
      </c>
      <c r="H128" s="22"/>
      <c r="I128" s="22"/>
      <c r="J128" s="22"/>
    </row>
    <row r="130" spans="1:10" x14ac:dyDescent="0.25">
      <c r="A130" s="26" t="s">
        <v>46</v>
      </c>
      <c r="B130" s="26" t="s">
        <v>45</v>
      </c>
      <c r="C130" s="26" t="s">
        <v>47</v>
      </c>
      <c r="D130" s="26" t="s">
        <v>48</v>
      </c>
      <c r="E130" s="26" t="s">
        <v>49</v>
      </c>
      <c r="F130" s="26" t="s">
        <v>37</v>
      </c>
      <c r="H130" s="26" t="s">
        <v>54</v>
      </c>
      <c r="I130" s="26" t="s">
        <v>55</v>
      </c>
      <c r="J130" s="26" t="s">
        <v>56</v>
      </c>
    </row>
    <row r="131" spans="1:10" x14ac:dyDescent="0.25">
      <c r="A131" s="22">
        <v>1</v>
      </c>
      <c r="B131" s="32">
        <v>45931</v>
      </c>
      <c r="C131" s="33" t="s">
        <v>50</v>
      </c>
      <c r="D131" s="29">
        <f>'SPC Astn Apr 24 to Apr 26'!U4</f>
        <v>9099335.8720000181</v>
      </c>
      <c r="E131" s="29"/>
      <c r="F131" s="22">
        <f>D131*8%/12</f>
        <v>60662.239146666783</v>
      </c>
      <c r="H131" s="36"/>
      <c r="I131" s="22"/>
      <c r="J131" s="22"/>
    </row>
    <row r="132" spans="1:10" x14ac:dyDescent="0.25">
      <c r="A132" s="22">
        <f>A131+1</f>
        <v>2</v>
      </c>
      <c r="B132" s="32">
        <v>45931</v>
      </c>
      <c r="C132" s="26" t="s">
        <v>189</v>
      </c>
      <c r="D132" s="29"/>
      <c r="E132" s="22">
        <f>-J132</f>
        <v>-54530.1</v>
      </c>
      <c r="F132" s="22">
        <f>E132*8%/12*1/31</f>
        <v>-11.726903225806453</v>
      </c>
      <c r="H132" s="34">
        <v>45961</v>
      </c>
      <c r="I132" s="21" t="s">
        <v>202</v>
      </c>
      <c r="J132" s="41">
        <v>54530.1</v>
      </c>
    </row>
    <row r="133" spans="1:10" ht="13" x14ac:dyDescent="0.3">
      <c r="A133" s="22"/>
      <c r="B133" s="22"/>
      <c r="C133" s="23" t="s">
        <v>201</v>
      </c>
      <c r="D133" s="22"/>
      <c r="E133" s="30">
        <f>SUM(E132:E132)</f>
        <v>-54530.1</v>
      </c>
      <c r="F133" s="23" cm="1">
        <f t="array" ref="F133">SUM(ROUND(F131:F132,0))</f>
        <v>60650</v>
      </c>
      <c r="H133" s="22"/>
      <c r="I133" s="22"/>
      <c r="J133" s="22"/>
    </row>
    <row r="135" spans="1:10" x14ac:dyDescent="0.25">
      <c r="A135" s="26" t="s">
        <v>46</v>
      </c>
      <c r="B135" s="26" t="s">
        <v>45</v>
      </c>
      <c r="C135" s="26" t="s">
        <v>47</v>
      </c>
      <c r="D135" s="26" t="s">
        <v>48</v>
      </c>
      <c r="E135" s="26" t="s">
        <v>49</v>
      </c>
      <c r="F135" s="26" t="s">
        <v>37</v>
      </c>
      <c r="H135" s="26" t="s">
        <v>54</v>
      </c>
      <c r="I135" s="26" t="s">
        <v>55</v>
      </c>
      <c r="J135" s="26" t="s">
        <v>56</v>
      </c>
    </row>
    <row r="136" spans="1:10" x14ac:dyDescent="0.25">
      <c r="A136" s="22">
        <v>1</v>
      </c>
      <c r="B136" s="32">
        <v>45962</v>
      </c>
      <c r="C136" s="33" t="s">
        <v>50</v>
      </c>
      <c r="D136" s="29">
        <f>'SPC Astn Apr 24 to Apr 26'!V4</f>
        <v>9099390.7720000185</v>
      </c>
      <c r="E136" s="29"/>
      <c r="F136" s="22">
        <f>D136*8%/12</f>
        <v>60662.605146666792</v>
      </c>
      <c r="H136" s="36"/>
      <c r="I136" s="22"/>
      <c r="J136" s="22"/>
    </row>
    <row r="137" spans="1:10" x14ac:dyDescent="0.25">
      <c r="A137" s="22">
        <f>A136+1</f>
        <v>2</v>
      </c>
      <c r="B137" s="32">
        <v>45962</v>
      </c>
      <c r="C137" s="26" t="s">
        <v>189</v>
      </c>
      <c r="D137" s="29"/>
      <c r="E137" s="22">
        <f>-J137</f>
        <v>-54585</v>
      </c>
      <c r="F137" s="22">
        <f>E137*8%/12*24/30</f>
        <v>-291.12</v>
      </c>
      <c r="H137" s="36">
        <v>45986</v>
      </c>
      <c r="I137" s="62" t="s">
        <v>204</v>
      </c>
      <c r="J137" s="72">
        <v>54585</v>
      </c>
    </row>
    <row r="138" spans="1:10" ht="13" x14ac:dyDescent="0.3">
      <c r="A138" s="22"/>
      <c r="B138" s="22"/>
      <c r="C138" s="23" t="s">
        <v>205</v>
      </c>
      <c r="D138" s="22"/>
      <c r="E138" s="30">
        <f>SUM(E137:E137)</f>
        <v>-54585</v>
      </c>
      <c r="F138" s="23" cm="1">
        <f t="array" ref="F138">SUM(ROUND(F136:F137,0))</f>
        <v>60372</v>
      </c>
      <c r="H138" s="22"/>
      <c r="I138" s="22"/>
      <c r="J138" s="22"/>
    </row>
    <row r="140" spans="1:10" x14ac:dyDescent="0.25">
      <c r="A140" s="26" t="s">
        <v>46</v>
      </c>
      <c r="B140" s="26" t="s">
        <v>45</v>
      </c>
      <c r="C140" s="26" t="s">
        <v>47</v>
      </c>
      <c r="D140" s="26" t="s">
        <v>48</v>
      </c>
      <c r="E140" s="26" t="s">
        <v>49</v>
      </c>
      <c r="F140" s="26" t="s">
        <v>37</v>
      </c>
      <c r="H140" s="26" t="s">
        <v>54</v>
      </c>
      <c r="I140" s="26" t="s">
        <v>55</v>
      </c>
      <c r="J140" s="26" t="s">
        <v>56</v>
      </c>
    </row>
    <row r="141" spans="1:10" x14ac:dyDescent="0.25">
      <c r="A141" s="22">
        <v>1</v>
      </c>
      <c r="B141" s="32">
        <v>45992</v>
      </c>
      <c r="C141" s="33" t="s">
        <v>50</v>
      </c>
      <c r="D141" s="29">
        <f>'SPC Astn Apr 24 to Apr 26'!W4</f>
        <v>9099140.5720000193</v>
      </c>
      <c r="E141" s="29"/>
      <c r="F141" s="22">
        <f>D141*8%/12</f>
        <v>60660.937146666802</v>
      </c>
      <c r="H141" s="36"/>
      <c r="I141" s="22"/>
      <c r="J141" s="22"/>
    </row>
    <row r="142" spans="1:10" x14ac:dyDescent="0.25">
      <c r="A142" s="22">
        <f>A141+1</f>
        <v>2</v>
      </c>
      <c r="B142" s="32">
        <v>45992</v>
      </c>
      <c r="C142" s="26" t="s">
        <v>189</v>
      </c>
      <c r="D142" s="29"/>
      <c r="E142" s="22">
        <f>-J142</f>
        <v>-54334.8</v>
      </c>
      <c r="F142" s="22">
        <f>E142*8%/12*16/31</f>
        <v>-186.95845161290325</v>
      </c>
      <c r="H142" s="34">
        <v>46006</v>
      </c>
      <c r="I142" s="21" t="s">
        <v>208</v>
      </c>
      <c r="J142" s="73">
        <v>54334.8</v>
      </c>
    </row>
    <row r="143" spans="1:10" ht="13" x14ac:dyDescent="0.3">
      <c r="A143" s="22"/>
      <c r="B143" s="22"/>
      <c r="C143" s="23" t="s">
        <v>207</v>
      </c>
      <c r="D143" s="22"/>
      <c r="E143" s="30">
        <f>SUM(E142:E142)</f>
        <v>-54334.8</v>
      </c>
      <c r="F143" s="23" cm="1">
        <f t="array" ref="F143">SUM(ROUND(F141:F142,0))</f>
        <v>60474</v>
      </c>
      <c r="H143" s="22"/>
      <c r="I143" s="22"/>
      <c r="J143" s="22"/>
    </row>
    <row r="145" spans="1:10" x14ac:dyDescent="0.25">
      <c r="A145" s="26" t="s">
        <v>46</v>
      </c>
      <c r="B145" s="26" t="s">
        <v>45</v>
      </c>
      <c r="C145" s="26" t="s">
        <v>47</v>
      </c>
      <c r="D145" s="26" t="s">
        <v>48</v>
      </c>
      <c r="E145" s="26" t="s">
        <v>49</v>
      </c>
      <c r="F145" s="26" t="s">
        <v>37</v>
      </c>
      <c r="H145" s="26" t="s">
        <v>54</v>
      </c>
      <c r="I145" s="26" t="s">
        <v>55</v>
      </c>
      <c r="J145" s="26" t="s">
        <v>56</v>
      </c>
    </row>
    <row r="146" spans="1:10" x14ac:dyDescent="0.25">
      <c r="A146" s="22">
        <v>1</v>
      </c>
      <c r="B146" s="32">
        <v>46023</v>
      </c>
      <c r="C146" s="33" t="s">
        <v>50</v>
      </c>
      <c r="D146" s="29">
        <f>'SPC Astn Apr 24 to Apr 26'!X4</f>
        <v>9099232.3720000181</v>
      </c>
      <c r="E146" s="29"/>
      <c r="F146" s="22">
        <f>D146*8%/12</f>
        <v>60661.549146666795</v>
      </c>
      <c r="H146" s="36"/>
      <c r="I146" s="22"/>
      <c r="J146" s="22"/>
    </row>
    <row r="147" spans="1:10" x14ac:dyDescent="0.25">
      <c r="A147" s="22">
        <f>A146+1</f>
        <v>2</v>
      </c>
      <c r="B147" s="32">
        <v>46023</v>
      </c>
      <c r="C147" s="26" t="s">
        <v>189</v>
      </c>
      <c r="D147" s="29"/>
      <c r="E147" s="22">
        <f>-J147</f>
        <v>-54426.6</v>
      </c>
      <c r="F147" s="22">
        <f>E147*8%/12*9/31</f>
        <v>-105.3418064516129</v>
      </c>
      <c r="H147" s="36">
        <v>46045</v>
      </c>
      <c r="I147" s="62" t="s">
        <v>211</v>
      </c>
      <c r="J147" s="72">
        <v>54426.6</v>
      </c>
    </row>
    <row r="148" spans="1:10" ht="13" x14ac:dyDescent="0.3">
      <c r="A148" s="22"/>
      <c r="B148" s="22"/>
      <c r="C148" s="23" t="s">
        <v>210</v>
      </c>
      <c r="D148" s="22"/>
      <c r="E148" s="30">
        <f>SUM(E147:E147)</f>
        <v>-54426.6</v>
      </c>
      <c r="F148" s="23" cm="1">
        <f t="array" ref="F148">SUM(ROUND(F146:F147,0))</f>
        <v>60557</v>
      </c>
      <c r="H148" s="22"/>
      <c r="I148" s="22"/>
      <c r="J148" s="22"/>
    </row>
    <row r="150" spans="1:10" x14ac:dyDescent="0.25">
      <c r="A150" s="26" t="s">
        <v>46</v>
      </c>
      <c r="B150" s="26" t="s">
        <v>45</v>
      </c>
      <c r="C150" s="26" t="s">
        <v>47</v>
      </c>
      <c r="D150" s="26" t="s">
        <v>48</v>
      </c>
      <c r="E150" s="26" t="s">
        <v>49</v>
      </c>
      <c r="F150" s="26" t="s">
        <v>37</v>
      </c>
      <c r="H150" s="26" t="s">
        <v>54</v>
      </c>
      <c r="I150" s="26" t="s">
        <v>55</v>
      </c>
      <c r="J150" s="26" t="s">
        <v>56</v>
      </c>
    </row>
    <row r="151" spans="1:10" x14ac:dyDescent="0.25">
      <c r="A151" s="22">
        <v>1</v>
      </c>
      <c r="B151" s="32">
        <v>46054</v>
      </c>
      <c r="C151" s="33" t="s">
        <v>50</v>
      </c>
      <c r="D151" s="29">
        <f>'SPC Astn Apr 24 to Apr 26'!Y4</f>
        <v>9099307.0720000193</v>
      </c>
      <c r="E151" s="29"/>
      <c r="F151" s="22">
        <f>D151*8%/12</f>
        <v>60662.047146666795</v>
      </c>
      <c r="H151" s="36"/>
      <c r="I151" s="22"/>
      <c r="J151" s="22"/>
    </row>
    <row r="152" spans="1:10" x14ac:dyDescent="0.25">
      <c r="A152" s="22">
        <f>A151+1</f>
        <v>2</v>
      </c>
      <c r="B152" s="32">
        <v>46054</v>
      </c>
      <c r="C152" s="26" t="s">
        <v>189</v>
      </c>
      <c r="D152" s="29"/>
      <c r="E152" s="22">
        <f>-J152</f>
        <v>-54501.3</v>
      </c>
      <c r="F152" s="22">
        <f>E152*8%/12*20/28</f>
        <v>-259.53000000000003</v>
      </c>
      <c r="H152" s="36">
        <v>46062</v>
      </c>
      <c r="I152" s="62" t="s">
        <v>214</v>
      </c>
      <c r="J152" s="72">
        <v>54501.3</v>
      </c>
    </row>
    <row r="153" spans="1:10" ht="13" x14ac:dyDescent="0.3">
      <c r="A153" s="22"/>
      <c r="B153" s="22"/>
      <c r="C153" s="23" t="s">
        <v>213</v>
      </c>
      <c r="D153" s="22"/>
      <c r="E153" s="30">
        <f>SUM(E152:E152)</f>
        <v>-54501.3</v>
      </c>
      <c r="F153" s="23" cm="1">
        <f t="array" ref="F153">SUM(ROUND(F151:F152,0))</f>
        <v>60402</v>
      </c>
      <c r="H153" s="22"/>
      <c r="I153" s="22"/>
      <c r="J153" s="22"/>
    </row>
    <row r="155" spans="1:10" x14ac:dyDescent="0.25">
      <c r="A155" s="26" t="s">
        <v>46</v>
      </c>
      <c r="B155" s="26" t="s">
        <v>45</v>
      </c>
      <c r="C155" s="26" t="s">
        <v>47</v>
      </c>
      <c r="D155" s="26" t="s">
        <v>48</v>
      </c>
      <c r="E155" s="26" t="s">
        <v>49</v>
      </c>
      <c r="F155" s="26" t="s">
        <v>37</v>
      </c>
      <c r="H155" s="26" t="s">
        <v>54</v>
      </c>
      <c r="I155" s="26" t="s">
        <v>55</v>
      </c>
      <c r="J155" s="26" t="s">
        <v>56</v>
      </c>
    </row>
    <row r="156" spans="1:10" x14ac:dyDescent="0.25">
      <c r="A156" s="22">
        <v>1</v>
      </c>
      <c r="B156" s="32">
        <v>46082</v>
      </c>
      <c r="C156" s="33" t="s">
        <v>50</v>
      </c>
      <c r="D156" s="29">
        <f>'SPC Astn Apr 24 to Apr 26'!Z4</f>
        <v>9099167.5720000193</v>
      </c>
      <c r="E156" s="29"/>
      <c r="F156" s="22">
        <f>D156*8%/12</f>
        <v>60661.117146666795</v>
      </c>
      <c r="H156" s="36"/>
      <c r="I156" s="22"/>
      <c r="J156" s="22"/>
    </row>
    <row r="157" spans="1:10" x14ac:dyDescent="0.25">
      <c r="A157" s="22">
        <f>A156+1</f>
        <v>2</v>
      </c>
      <c r="B157" s="32">
        <v>46082</v>
      </c>
      <c r="C157" s="26" t="s">
        <v>189</v>
      </c>
      <c r="D157" s="29"/>
      <c r="E157" s="22">
        <f>-J157</f>
        <v>-54361.8</v>
      </c>
      <c r="F157" s="22">
        <f>E157*8%/12*6/31</f>
        <v>-70.144258064516137</v>
      </c>
      <c r="H157" s="36">
        <v>46107</v>
      </c>
      <c r="I157" s="62" t="s">
        <v>217</v>
      </c>
      <c r="J157" s="72">
        <v>54361.8</v>
      </c>
    </row>
    <row r="158" spans="1:10" ht="13" x14ac:dyDescent="0.3">
      <c r="A158" s="22"/>
      <c r="B158" s="22"/>
      <c r="C158" s="23" t="s">
        <v>216</v>
      </c>
      <c r="D158" s="22"/>
      <c r="E158" s="30">
        <f>SUM(E157:E157)</f>
        <v>-54361.8</v>
      </c>
      <c r="F158" s="23" cm="1">
        <f t="array" ref="F158">SUM(ROUND(F156:F157,0))</f>
        <v>60591</v>
      </c>
      <c r="H158" s="22"/>
      <c r="I158" s="22"/>
      <c r="J158" s="22"/>
    </row>
    <row r="160" spans="1:10" x14ac:dyDescent="0.25">
      <c r="A160" s="26" t="s">
        <v>46</v>
      </c>
      <c r="B160" s="26" t="s">
        <v>45</v>
      </c>
      <c r="C160" s="26" t="s">
        <v>47</v>
      </c>
      <c r="D160" s="26" t="s">
        <v>48</v>
      </c>
      <c r="E160" s="26" t="s">
        <v>49</v>
      </c>
      <c r="F160" s="26" t="s">
        <v>37</v>
      </c>
      <c r="H160" s="26" t="s">
        <v>54</v>
      </c>
      <c r="I160" s="26" t="s">
        <v>55</v>
      </c>
      <c r="J160" s="26" t="s">
        <v>56</v>
      </c>
    </row>
    <row r="161" spans="1:10" x14ac:dyDescent="0.25">
      <c r="A161" s="22">
        <v>1</v>
      </c>
      <c r="B161" s="32">
        <v>46113</v>
      </c>
      <c r="C161" s="33" t="s">
        <v>50</v>
      </c>
      <c r="D161" s="29">
        <f>'SPC Astn Apr 24 to Apr 26'!AA4</f>
        <v>9099337.6720000189</v>
      </c>
      <c r="E161" s="29"/>
      <c r="F161" s="22">
        <f>D161*8%/12</f>
        <v>60662.251146666793</v>
      </c>
      <c r="H161" s="36"/>
      <c r="I161" s="22"/>
      <c r="J161" s="22"/>
    </row>
    <row r="162" spans="1:10" x14ac:dyDescent="0.25">
      <c r="A162" s="22">
        <f>A161+1</f>
        <v>2</v>
      </c>
      <c r="B162" s="32">
        <v>46113</v>
      </c>
      <c r="C162" s="26" t="s">
        <v>189</v>
      </c>
      <c r="D162" s="29"/>
      <c r="E162" s="22">
        <f>-J162</f>
        <v>-54531.9</v>
      </c>
      <c r="F162" s="22">
        <f>E162*8%/12*23/30</f>
        <v>-278.71860000000004</v>
      </c>
      <c r="H162" s="36">
        <v>46120</v>
      </c>
      <c r="I162" s="62" t="s">
        <v>220</v>
      </c>
      <c r="J162" s="72">
        <v>54531.9</v>
      </c>
    </row>
    <row r="163" spans="1:10" ht="13" x14ac:dyDescent="0.3">
      <c r="A163" s="22"/>
      <c r="B163" s="22"/>
      <c r="C163" s="23" t="s">
        <v>219</v>
      </c>
      <c r="D163" s="22"/>
      <c r="E163" s="30">
        <f>SUM(E162:E162)</f>
        <v>-54531.9</v>
      </c>
      <c r="F163" s="23" cm="1">
        <f t="array" ref="F163">SUM(ROUND(F161:F162,0))</f>
        <v>60383</v>
      </c>
      <c r="H163" s="22"/>
      <c r="I163" s="22"/>
      <c r="J163" s="22"/>
    </row>
    <row r="165" spans="1:10" x14ac:dyDescent="0.25">
      <c r="A165" s="26" t="s">
        <v>46</v>
      </c>
      <c r="B165" s="26" t="s">
        <v>45</v>
      </c>
      <c r="C165" s="26" t="s">
        <v>47</v>
      </c>
      <c r="D165" s="26" t="s">
        <v>48</v>
      </c>
      <c r="E165" s="26" t="s">
        <v>49</v>
      </c>
      <c r="F165" s="26" t="s">
        <v>37</v>
      </c>
      <c r="H165" s="26" t="s">
        <v>54</v>
      </c>
      <c r="I165" s="26" t="s">
        <v>55</v>
      </c>
      <c r="J165" s="26" t="s">
        <v>56</v>
      </c>
    </row>
    <row r="166" spans="1:10" x14ac:dyDescent="0.25">
      <c r="A166" s="22">
        <v>1</v>
      </c>
      <c r="B166" s="32">
        <v>46143</v>
      </c>
      <c r="C166" s="33" t="s">
        <v>50</v>
      </c>
      <c r="D166" s="29">
        <f>'SPC Astn Apr 24 to Apr 26'!AB4</f>
        <v>9099150.4720000178</v>
      </c>
      <c r="E166" s="29"/>
      <c r="F166" s="22">
        <f>D166*8%/12</f>
        <v>60661.003146666793</v>
      </c>
      <c r="H166" s="36"/>
      <c r="I166" s="22"/>
      <c r="J166" s="22"/>
    </row>
    <row r="167" spans="1:10" x14ac:dyDescent="0.25">
      <c r="A167" s="22">
        <f>A166+1</f>
        <v>2</v>
      </c>
      <c r="B167" s="32">
        <v>46143</v>
      </c>
      <c r="C167" s="26" t="s">
        <v>189</v>
      </c>
      <c r="D167" s="29"/>
      <c r="E167" s="22">
        <f>-J167</f>
        <v>-54344.7</v>
      </c>
      <c r="F167" s="22">
        <f>E167*8%/12*18/31</f>
        <v>-210.36658064516126</v>
      </c>
      <c r="H167" s="34">
        <v>46156</v>
      </c>
      <c r="I167" s="21" t="s">
        <v>221</v>
      </c>
      <c r="J167" s="73">
        <v>54344.7</v>
      </c>
    </row>
    <row r="168" spans="1:10" ht="13" x14ac:dyDescent="0.3">
      <c r="A168" s="22"/>
      <c r="B168" s="22"/>
      <c r="C168" s="23" t="s">
        <v>222</v>
      </c>
      <c r="D168" s="22"/>
      <c r="E168" s="30">
        <f>SUM(E167:E167)</f>
        <v>-54344.7</v>
      </c>
      <c r="F168" s="23" cm="1">
        <f t="array" ref="F168">SUM(ROUND(F166:F167,0))</f>
        <v>60451</v>
      </c>
      <c r="H168" s="22"/>
      <c r="I168" s="22"/>
      <c r="J168" s="22"/>
    </row>
    <row r="170" spans="1:10" x14ac:dyDescent="0.25">
      <c r="A170" s="26" t="s">
        <v>46</v>
      </c>
      <c r="B170" s="26" t="s">
        <v>45</v>
      </c>
      <c r="C170" s="26" t="s">
        <v>47</v>
      </c>
      <c r="D170" s="26" t="s">
        <v>48</v>
      </c>
      <c r="E170" s="26" t="s">
        <v>49</v>
      </c>
      <c r="F170" s="26" t="s">
        <v>37</v>
      </c>
      <c r="H170" s="26" t="s">
        <v>54</v>
      </c>
      <c r="I170" s="26" t="s">
        <v>55</v>
      </c>
      <c r="J170" s="26" t="s">
        <v>56</v>
      </c>
    </row>
    <row r="171" spans="1:10" x14ac:dyDescent="0.25">
      <c r="A171" s="22">
        <v>1</v>
      </c>
      <c r="B171" s="32">
        <v>46174</v>
      </c>
      <c r="C171" s="33" t="s">
        <v>50</v>
      </c>
      <c r="D171" s="29">
        <f>'SPC Astn Apr 24 to Apr 26'!AC4</f>
        <v>8248044.6320000179</v>
      </c>
      <c r="E171" s="29"/>
      <c r="F171" s="22">
        <f>D171*8%/12</f>
        <v>54986.964213333449</v>
      </c>
      <c r="H171" s="36"/>
      <c r="I171" s="22"/>
      <c r="J171" s="22"/>
    </row>
    <row r="172" spans="1:10" x14ac:dyDescent="0.25">
      <c r="A172" s="22">
        <f>A171+1</f>
        <v>2</v>
      </c>
      <c r="B172" s="32">
        <v>46174</v>
      </c>
      <c r="C172" s="26" t="s">
        <v>189</v>
      </c>
      <c r="D172" s="29"/>
      <c r="E172" s="22">
        <f>-J172</f>
        <v>-54405.9</v>
      </c>
      <c r="F172" s="22">
        <f>E172*8%/12*21/30</f>
        <v>-253.89419999999998</v>
      </c>
      <c r="H172" s="34">
        <v>46183</v>
      </c>
      <c r="I172" s="21" t="s">
        <v>225</v>
      </c>
      <c r="J172" s="73">
        <v>54405.9</v>
      </c>
    </row>
    <row r="173" spans="1:10" ht="13" x14ac:dyDescent="0.3">
      <c r="A173" s="22"/>
      <c r="B173" s="22"/>
      <c r="C173" s="23" t="s">
        <v>226</v>
      </c>
      <c r="D173" s="22"/>
      <c r="E173" s="30">
        <f>SUM(E172:E172)</f>
        <v>-54405.9</v>
      </c>
      <c r="F173" s="23" cm="1">
        <f t="array" ref="F173">SUM(ROUND(F171:F172,0))</f>
        <v>54733</v>
      </c>
      <c r="H173" s="22"/>
      <c r="I173" s="22"/>
      <c r="J173" s="22"/>
    </row>
    <row r="175" spans="1:10" x14ac:dyDescent="0.25">
      <c r="A175" s="26" t="s">
        <v>46</v>
      </c>
      <c r="B175" s="26" t="s">
        <v>45</v>
      </c>
      <c r="C175" s="26" t="s">
        <v>47</v>
      </c>
      <c r="D175" s="26" t="s">
        <v>48</v>
      </c>
      <c r="E175" s="26" t="s">
        <v>49</v>
      </c>
      <c r="F175" s="26" t="s">
        <v>37</v>
      </c>
      <c r="H175" s="26" t="s">
        <v>54</v>
      </c>
      <c r="I175" s="26" t="s">
        <v>55</v>
      </c>
      <c r="J175" s="26" t="s">
        <v>56</v>
      </c>
    </row>
    <row r="176" spans="1:10" x14ac:dyDescent="0.25">
      <c r="A176" s="22">
        <v>1</v>
      </c>
      <c r="B176" s="32">
        <v>46204</v>
      </c>
      <c r="C176" s="33" t="s">
        <v>50</v>
      </c>
      <c r="D176" s="29">
        <f>'SPC Astn Apr 24 to Apr 26'!AD4</f>
        <v>7457273.3120000176</v>
      </c>
      <c r="E176" s="29"/>
      <c r="F176" s="22">
        <f>D176*8%/12</f>
        <v>49715.15541333345</v>
      </c>
      <c r="H176" s="36"/>
      <c r="I176" s="22"/>
      <c r="J176" s="22"/>
    </row>
    <row r="177" spans="1:13" x14ac:dyDescent="0.25">
      <c r="A177" s="22">
        <f>A176+1</f>
        <v>2</v>
      </c>
      <c r="B177" s="32">
        <v>46234</v>
      </c>
      <c r="C177" s="26" t="s">
        <v>189</v>
      </c>
      <c r="D177" s="29"/>
      <c r="E177" s="22">
        <f>-J177</f>
        <v>-49259.7</v>
      </c>
      <c r="F177" s="22">
        <f>E177*8%/12*(B177-H177+1)/31</f>
        <v>-169.49574193548386</v>
      </c>
      <c r="H177" s="36">
        <v>46219</v>
      </c>
      <c r="I177" s="62" t="s">
        <v>228</v>
      </c>
      <c r="J177" s="72">
        <v>49259.7</v>
      </c>
      <c r="L177" t="s">
        <v>236</v>
      </c>
      <c r="M177" t="s">
        <v>237</v>
      </c>
    </row>
    <row r="178" spans="1:13" x14ac:dyDescent="0.25">
      <c r="A178" s="22">
        <f>A177+1</f>
        <v>3</v>
      </c>
      <c r="B178" s="32">
        <v>46204</v>
      </c>
      <c r="C178" s="26" t="s">
        <v>230</v>
      </c>
      <c r="D178" s="29"/>
      <c r="E178" s="29">
        <v>851167</v>
      </c>
      <c r="F178" s="22">
        <f>E178/31*9*8%/12</f>
        <v>1647.42</v>
      </c>
      <c r="H178" s="36"/>
      <c r="I178" s="62"/>
      <c r="J178" s="72"/>
    </row>
    <row r="179" spans="1:13" ht="13" x14ac:dyDescent="0.3">
      <c r="A179" s="22"/>
      <c r="B179" s="22"/>
      <c r="C179" s="23" t="s">
        <v>229</v>
      </c>
      <c r="D179" s="22"/>
      <c r="E179" s="30">
        <f>SUM(E177:E178)</f>
        <v>801907.3</v>
      </c>
      <c r="F179" s="23" cm="1">
        <f t="array" ref="F179">SUM(ROUND(F176:F178,0))</f>
        <v>51193</v>
      </c>
      <c r="H179" s="22"/>
      <c r="I179" s="22"/>
      <c r="J179" s="22"/>
      <c r="L179">
        <v>51554</v>
      </c>
      <c r="M179">
        <f>F179-L179</f>
        <v>-361</v>
      </c>
    </row>
    <row r="181" spans="1:13" x14ac:dyDescent="0.25">
      <c r="A181" s="26" t="s">
        <v>46</v>
      </c>
      <c r="B181" s="26" t="s">
        <v>45</v>
      </c>
      <c r="C181" s="26" t="s">
        <v>47</v>
      </c>
      <c r="D181" s="26" t="s">
        <v>48</v>
      </c>
      <c r="E181" s="26" t="s">
        <v>49</v>
      </c>
      <c r="F181" s="26" t="s">
        <v>37</v>
      </c>
      <c r="H181" s="26" t="s">
        <v>54</v>
      </c>
      <c r="I181" s="26" t="s">
        <v>55</v>
      </c>
      <c r="J181" s="26" t="s">
        <v>56</v>
      </c>
    </row>
    <row r="182" spans="1:13" x14ac:dyDescent="0.25">
      <c r="A182" s="22">
        <v>1</v>
      </c>
      <c r="B182" s="32">
        <v>46235</v>
      </c>
      <c r="C182" s="33" t="s">
        <v>50</v>
      </c>
      <c r="D182" s="29">
        <f>'SPC Astn Apr 24 to Apr 26'!AE4</f>
        <v>7525920.172000017</v>
      </c>
      <c r="E182" s="29"/>
      <c r="F182" s="22">
        <f>D182*8%/12</f>
        <v>50172.801146666781</v>
      </c>
      <c r="H182" s="36"/>
      <c r="I182" s="22"/>
      <c r="J182" s="22"/>
    </row>
    <row r="183" spans="1:13" x14ac:dyDescent="0.25">
      <c r="A183" s="22">
        <f>A182+1</f>
        <v>2</v>
      </c>
      <c r="B183" s="32">
        <v>46235</v>
      </c>
      <c r="C183" s="26" t="s">
        <v>189</v>
      </c>
      <c r="D183" s="29"/>
      <c r="E183" s="22">
        <f>-J183</f>
        <v>-46398.6</v>
      </c>
      <c r="F183" s="22">
        <f>E183*8%/12*(B183-H183+1)/31</f>
        <v>39.912774193548387</v>
      </c>
      <c r="H183" s="36">
        <v>46240</v>
      </c>
      <c r="I183" s="62" t="s">
        <v>233</v>
      </c>
      <c r="J183" s="72">
        <v>46398.6</v>
      </c>
    </row>
    <row r="184" spans="1:13" x14ac:dyDescent="0.25">
      <c r="A184" s="22">
        <f>A183+1</f>
        <v>3</v>
      </c>
      <c r="B184" s="32">
        <v>46235</v>
      </c>
      <c r="C184" s="26" t="s">
        <v>234</v>
      </c>
      <c r="D184" s="29"/>
      <c r="E184" s="29">
        <v>785625</v>
      </c>
      <c r="F184" s="22">
        <f>E184/31*17*8%/12</f>
        <v>2872.177419354839</v>
      </c>
      <c r="H184" s="36"/>
      <c r="I184" s="62"/>
      <c r="J184" s="72"/>
    </row>
    <row r="185" spans="1:13" ht="13" x14ac:dyDescent="0.3">
      <c r="A185" s="22"/>
      <c r="B185" s="22"/>
      <c r="C185" s="23" t="s">
        <v>232</v>
      </c>
      <c r="D185" s="22"/>
      <c r="E185" s="30">
        <f>SUM(E183:E184)</f>
        <v>739226.4</v>
      </c>
      <c r="F185" s="23" cm="1">
        <f t="array" ref="F185">SUM(ROUND(F182:F184,0))</f>
        <v>53085</v>
      </c>
      <c r="H185" s="22"/>
      <c r="I185" s="22"/>
      <c r="J185" s="22"/>
      <c r="L185">
        <v>58972</v>
      </c>
      <c r="M185">
        <f>F185-L185</f>
        <v>-5887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SPC Adhoc Jul 22 to Sept 23</vt:lpstr>
      <vt:lpstr>SPC Astn Oct 23 to Mar24</vt:lpstr>
      <vt:lpstr>SPC Astn Apr 24 to Apr 26</vt:lpstr>
      <vt:lpstr>Refund details</vt:lpstr>
      <vt:lpstr>'SPC Adhoc Jul 22 to Sept 23'!Print_Area</vt:lpstr>
      <vt:lpstr>'SPC Astn Apr 24 to Apr 26'!Print_Area</vt:lpstr>
      <vt:lpstr>'SPC Astn Oct 23 to Mar24'!Print_Area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</dc:creator>
  <cp:lastModifiedBy>Hariprasad V</cp:lastModifiedBy>
  <cp:lastPrinted>2023-06-06T10:02:14Z</cp:lastPrinted>
  <dcterms:created xsi:type="dcterms:W3CDTF">2014-06-03T10:17:59Z</dcterms:created>
  <dcterms:modified xsi:type="dcterms:W3CDTF">2026-09-10T05:58:42Z</dcterms:modified>
</cp:coreProperties>
</file>